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idaviruinvestagentuur-my.sharepoint.com/personal/kersti_raja_ivia_ee/Documents/Documents/IVIA/toetusprogrammid/ÕÜF/Tugiteenused ja -taristu/taristu/Jõhvi/Taotlus_Digi ja MM/UUS Taotlus/Täiendused 14.03.2025/"/>
    </mc:Choice>
  </mc:AlternateContent>
  <xr:revisionPtr revIDLastSave="61" documentId="8_{3C2A0DD3-4CAB-4731-A8BD-97A284D60BF5}" xr6:coauthVersionLast="47" xr6:coauthVersionMax="47" xr10:uidLastSave="{3EE064EF-EB00-4C01-AF40-417FA1F37B42}"/>
  <bookViews>
    <workbookView xWindow="-110" yWindow="-110" windowWidth="19420" windowHeight="10420" tabRatio="732" firstSheet="16" activeTab="22" xr2:uid="{00000000-000D-0000-FFFF-FFFF01000000}"/>
  </bookViews>
  <sheets>
    <sheet name="Juhend" sheetId="6" r:id="rId1"/>
    <sheet name="Esileht" sheetId="9" r:id="rId2"/>
    <sheet name="1. Projekti elluviimise kulud" sheetId="2" r:id="rId3"/>
    <sheet name="2. Tulud-kulud projektiga" sheetId="1" r:id="rId4"/>
    <sheet name="3. Tulud-kulud projektita" sheetId="4" r:id="rId5"/>
    <sheet name="4. Lisanduvad tulud-kulud" sheetId="5" r:id="rId6"/>
    <sheet name="7. Tasuvus" sheetId="11" r:id="rId7"/>
    <sheet name="5. Abikõlblik kulu" sheetId="7" r:id="rId8"/>
    <sheet name="6. Rahavood" sheetId="8" r:id="rId9"/>
    <sheet name="8. Jääkväärtus" sheetId="13" r:id="rId10"/>
    <sheet name="Sots.majanduslik moju" sheetId="18" r:id="rId11"/>
    <sheet name="Eeldused SotsMajand. moju" sheetId="20" r:id="rId12"/>
    <sheet name="Maksumäärad" sheetId="10" r:id="rId13"/>
    <sheet name="Arvestusperioodid" sheetId="12" r:id="rId14"/>
    <sheet name="Asendusinvesteeringud" sheetId="22" r:id="rId15"/>
    <sheet name="Ruumid" sheetId="14" r:id="rId16"/>
    <sheet name="Eeldused25" sheetId="23" r:id="rId17"/>
    <sheet name="Kulud25" sheetId="25" r:id="rId18"/>
    <sheet name="Tulud25" sheetId="24" r:id="rId19"/>
    <sheet name="Eeldused50" sheetId="15" r:id="rId20"/>
    <sheet name="Kulud50" sheetId="17" r:id="rId21"/>
    <sheet name="Tulud50" sheetId="16" r:id="rId22"/>
    <sheet name="Eeldused75" sheetId="26" r:id="rId23"/>
    <sheet name="Kulud75" sheetId="28" r:id="rId24"/>
    <sheet name="Tulud75" sheetId="27" r:id="rId25"/>
    <sheet name="Tegevuseelarve" sheetId="19" r:id="rId26"/>
    <sheet name="Link tabel" sheetId="21" state="hidden" r:id="rId27"/>
  </sheets>
  <externalReferences>
    <externalReference r:id="rId28"/>
    <externalReference r:id="rId29"/>
  </externalReferences>
  <definedNames>
    <definedName name="Excel_BuiltIn_Database_0">#REF!</definedName>
    <definedName name="_xlnm.Print_Area" localSheetId="17">Kulud25!$A$1:$E$71</definedName>
    <definedName name="_xlnm.Print_Area" localSheetId="20">Kulud50!$A$1:$E$71</definedName>
    <definedName name="_xlnm.Print_Area" localSheetId="23">Kulud75!$A$1:$E$71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9">'8.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5" l="1"/>
  <c r="E20" i="28"/>
  <c r="E20" i="17"/>
  <c r="C21" i="25"/>
  <c r="C17" i="25"/>
  <c r="C20" i="23"/>
  <c r="C19" i="23"/>
  <c r="C18" i="23"/>
  <c r="B84" i="1"/>
  <c r="C22" i="17"/>
  <c r="C20" i="17"/>
  <c r="C20" i="25" l="1"/>
  <c r="E20" i="25" s="1"/>
  <c r="E4" i="25" s="1"/>
  <c r="C5" i="23"/>
  <c r="C5" i="26" s="1"/>
  <c r="G9" i="1"/>
  <c r="D9" i="7"/>
  <c r="N8" i="24"/>
  <c r="E19" i="2"/>
  <c r="D47" i="11" s="1"/>
  <c r="U24" i="18"/>
  <c r="U19" i="18"/>
  <c r="U20" i="18"/>
  <c r="G27" i="18"/>
  <c r="T41" i="18"/>
  <c r="T40" i="18"/>
  <c r="U40" i="18" s="1"/>
  <c r="U30" i="18"/>
  <c r="G78" i="18"/>
  <c r="U68" i="18"/>
  <c r="U66" i="18"/>
  <c r="U64" i="18"/>
  <c r="U62" i="18"/>
  <c r="U55" i="18"/>
  <c r="U53" i="18"/>
  <c r="U47" i="18"/>
  <c r="U46" i="18"/>
  <c r="U45" i="18"/>
  <c r="U41" i="18"/>
  <c r="U37" i="18"/>
  <c r="U36" i="18"/>
  <c r="U34" i="18"/>
  <c r="U33" i="18"/>
  <c r="U32" i="18"/>
  <c r="U31" i="18"/>
  <c r="U28" i="18"/>
  <c r="U27" i="18"/>
  <c r="U26" i="18"/>
  <c r="U25" i="18"/>
  <c r="U23" i="18"/>
  <c r="U22" i="18"/>
  <c r="U18" i="18"/>
  <c r="U10" i="18"/>
  <c r="U21" i="18"/>
  <c r="U7" i="18"/>
  <c r="T60" i="18"/>
  <c r="T62" i="18" s="1"/>
  <c r="T16" i="18"/>
  <c r="T15" i="18"/>
  <c r="T14" i="18"/>
  <c r="T13" i="18"/>
  <c r="T9" i="18"/>
  <c r="T12" i="18" s="1"/>
  <c r="T8" i="18"/>
  <c r="T7" i="18"/>
  <c r="T3" i="18"/>
  <c r="T50" i="18" s="1"/>
  <c r="R3" i="8"/>
  <c r="C6" i="13"/>
  <c r="D3" i="1"/>
  <c r="D2" i="2"/>
  <c r="C5" i="7"/>
  <c r="C4" i="7"/>
  <c r="E28" i="2"/>
  <c r="S116" i="4"/>
  <c r="S104" i="4"/>
  <c r="S92" i="4"/>
  <c r="S78" i="4"/>
  <c r="S45" i="4"/>
  <c r="S41" i="4"/>
  <c r="S37" i="4"/>
  <c r="S33" i="4"/>
  <c r="S33" i="5" s="1"/>
  <c r="S29" i="4"/>
  <c r="S25" i="4"/>
  <c r="S25" i="5" s="1"/>
  <c r="S21" i="4"/>
  <c r="S21" i="5" s="1"/>
  <c r="S17" i="4"/>
  <c r="S13" i="4"/>
  <c r="S9" i="4"/>
  <c r="S53" i="4" s="1"/>
  <c r="R20" i="11"/>
  <c r="R19" i="11"/>
  <c r="R18" i="11"/>
  <c r="R17" i="11"/>
  <c r="R8" i="11"/>
  <c r="R48" i="11" s="1"/>
  <c r="S115" i="5"/>
  <c r="S114" i="5"/>
  <c r="S113" i="5"/>
  <c r="S112" i="5"/>
  <c r="S111" i="5"/>
  <c r="S110" i="5"/>
  <c r="S109" i="5"/>
  <c r="S107" i="5"/>
  <c r="S106" i="5"/>
  <c r="S103" i="5"/>
  <c r="S102" i="5"/>
  <c r="S101" i="5"/>
  <c r="S100" i="5"/>
  <c r="S99" i="5"/>
  <c r="S91" i="5"/>
  <c r="S90" i="5"/>
  <c r="S89" i="5"/>
  <c r="S88" i="5"/>
  <c r="S77" i="5"/>
  <c r="S76" i="5"/>
  <c r="S75" i="5"/>
  <c r="S74" i="5"/>
  <c r="S73" i="5"/>
  <c r="S72" i="5"/>
  <c r="S71" i="5"/>
  <c r="S70" i="5"/>
  <c r="S69" i="5"/>
  <c r="S68" i="5"/>
  <c r="S67" i="5"/>
  <c r="S66" i="5"/>
  <c r="S65" i="5"/>
  <c r="S64" i="5"/>
  <c r="S63" i="5"/>
  <c r="S62" i="5"/>
  <c r="S61" i="5"/>
  <c r="S51" i="5"/>
  <c r="S50" i="5"/>
  <c r="S49" i="5"/>
  <c r="S48" i="5"/>
  <c r="S47" i="5"/>
  <c r="S43" i="5"/>
  <c r="S41" i="5"/>
  <c r="S40" i="5"/>
  <c r="S39" i="5"/>
  <c r="S37" i="5"/>
  <c r="S36" i="5"/>
  <c r="S35" i="5"/>
  <c r="S32" i="5"/>
  <c r="S31" i="5"/>
  <c r="S29" i="5"/>
  <c r="S28" i="5"/>
  <c r="S27" i="5"/>
  <c r="S24" i="5"/>
  <c r="S23" i="5"/>
  <c r="S20" i="5"/>
  <c r="S19" i="5"/>
  <c r="S17" i="5"/>
  <c r="S16" i="5"/>
  <c r="S15" i="5"/>
  <c r="S13" i="5"/>
  <c r="S12" i="5"/>
  <c r="S11" i="5"/>
  <c r="S9" i="5"/>
  <c r="S8" i="5"/>
  <c r="S7" i="5"/>
  <c r="S112" i="1"/>
  <c r="S109" i="1"/>
  <c r="S107" i="1"/>
  <c r="S106" i="1"/>
  <c r="S41" i="1"/>
  <c r="S36" i="1"/>
  <c r="S37" i="1" s="1"/>
  <c r="S35" i="1"/>
  <c r="S33" i="1"/>
  <c r="S32" i="1"/>
  <c r="S31" i="1"/>
  <c r="S28" i="1"/>
  <c r="S27" i="1"/>
  <c r="S29" i="1" s="1"/>
  <c r="S25" i="1"/>
  <c r="S24" i="1"/>
  <c r="S23" i="1"/>
  <c r="S20" i="1"/>
  <c r="S19" i="1"/>
  <c r="S21" i="1" s="1"/>
  <c r="S16" i="1"/>
  <c r="S15" i="1"/>
  <c r="S17" i="1" s="1"/>
  <c r="S12" i="1"/>
  <c r="S13" i="1" s="1"/>
  <c r="S11" i="1"/>
  <c r="S8" i="1"/>
  <c r="S7" i="1"/>
  <c r="S9" i="1" s="1"/>
  <c r="E36" i="25"/>
  <c r="A109" i="1"/>
  <c r="J9" i="2"/>
  <c r="C5" i="15" l="1"/>
  <c r="T22" i="18"/>
  <c r="T21" i="18"/>
  <c r="T37" i="18" s="1"/>
  <c r="T36" i="18" s="1"/>
  <c r="T18" i="18"/>
  <c r="T45" i="18" s="1"/>
  <c r="T20" i="18"/>
  <c r="T19" i="18"/>
  <c r="T46" i="18" s="1"/>
  <c r="T10" i="18"/>
  <c r="S79" i="4"/>
  <c r="E41" i="8"/>
  <c r="T47" i="18" l="1"/>
  <c r="T27" i="18"/>
  <c r="T34" i="18" s="1"/>
  <c r="T6" i="18"/>
  <c r="T24" i="18"/>
  <c r="T23" i="18"/>
  <c r="S80" i="4"/>
  <c r="D5" i="22"/>
  <c r="R112" i="1" s="1"/>
  <c r="T32" i="18" l="1"/>
  <c r="T26" i="18"/>
  <c r="T33" i="18" s="1"/>
  <c r="T31" i="18"/>
  <c r="T30" i="18" s="1"/>
  <c r="T53" i="18" s="1"/>
  <c r="T28" i="18"/>
  <c r="S118" i="4"/>
  <c r="S121" i="4" s="1"/>
  <c r="S124" i="4" s="1"/>
  <c r="G16" i="1"/>
  <c r="T64" i="18" l="1"/>
  <c r="T66" i="18" s="1"/>
  <c r="T55" i="18"/>
  <c r="T25" i="18"/>
  <c r="D37" i="14"/>
  <c r="C35" i="15"/>
  <c r="F11" i="1"/>
  <c r="C5" i="22"/>
  <c r="F109" i="1"/>
  <c r="F36" i="1"/>
  <c r="F32" i="1"/>
  <c r="F28" i="1"/>
  <c r="F24" i="1"/>
  <c r="F20" i="1"/>
  <c r="F16" i="1"/>
  <c r="F12" i="1"/>
  <c r="F8" i="1"/>
  <c r="G36" i="1"/>
  <c r="G32" i="1"/>
  <c r="G28" i="1"/>
  <c r="G24" i="1"/>
  <c r="G20" i="1"/>
  <c r="G12" i="1"/>
  <c r="G8" i="1"/>
  <c r="C11" i="28"/>
  <c r="C10" i="28"/>
  <c r="C6" i="28"/>
  <c r="C6" i="17"/>
  <c r="C10" i="25"/>
  <c r="C6" i="25"/>
  <c r="D14" i="26"/>
  <c r="D14" i="15"/>
  <c r="D14" i="23"/>
  <c r="C11" i="25" s="1"/>
  <c r="L7" i="20"/>
  <c r="A17" i="24"/>
  <c r="C9" i="28" l="1"/>
  <c r="C5" i="28" s="1"/>
  <c r="C9" i="25"/>
  <c r="C5" i="25" s="1"/>
  <c r="H28" i="1"/>
  <c r="I28" i="1" s="1"/>
  <c r="J28" i="1" s="1"/>
  <c r="K28" i="1" s="1"/>
  <c r="L28" i="1" s="1"/>
  <c r="M28" i="1" s="1"/>
  <c r="N28" i="1" s="1"/>
  <c r="O28" i="1" s="1"/>
  <c r="P28" i="1" s="1"/>
  <c r="Q28" i="1" s="1"/>
  <c r="R28" i="1" s="1"/>
  <c r="R14" i="27"/>
  <c r="S14" i="27" s="1"/>
  <c r="R14" i="16"/>
  <c r="S14" i="16" s="1"/>
  <c r="H36" i="1"/>
  <c r="I36" i="1" s="1"/>
  <c r="J36" i="1" s="1"/>
  <c r="K36" i="1" s="1"/>
  <c r="L36" i="1" s="1"/>
  <c r="M36" i="1" s="1"/>
  <c r="N36" i="1" s="1"/>
  <c r="O36" i="1" s="1"/>
  <c r="P36" i="1" s="1"/>
  <c r="Q36" i="1" s="1"/>
  <c r="R36" i="1" s="1"/>
  <c r="H32" i="1"/>
  <c r="I32" i="1" s="1"/>
  <c r="J32" i="1" s="1"/>
  <c r="K32" i="1" s="1"/>
  <c r="L32" i="1" s="1"/>
  <c r="M32" i="1" s="1"/>
  <c r="N32" i="1" s="1"/>
  <c r="O32" i="1" s="1"/>
  <c r="P32" i="1" s="1"/>
  <c r="Q32" i="1" s="1"/>
  <c r="R32" i="1" s="1"/>
  <c r="H24" i="1"/>
  <c r="I24" i="1" s="1"/>
  <c r="J24" i="1" s="1"/>
  <c r="K24" i="1" s="1"/>
  <c r="L24" i="1" s="1"/>
  <c r="M24" i="1" s="1"/>
  <c r="N24" i="1" s="1"/>
  <c r="O24" i="1" s="1"/>
  <c r="P24" i="1" s="1"/>
  <c r="Q24" i="1" s="1"/>
  <c r="R24" i="1" s="1"/>
  <c r="H20" i="1"/>
  <c r="I20" i="1" s="1"/>
  <c r="J20" i="1" s="1"/>
  <c r="K20" i="1" s="1"/>
  <c r="L20" i="1" s="1"/>
  <c r="M20" i="1" s="1"/>
  <c r="N20" i="1" s="1"/>
  <c r="O20" i="1" s="1"/>
  <c r="P20" i="1" s="1"/>
  <c r="Q20" i="1" s="1"/>
  <c r="R20" i="1" s="1"/>
  <c r="S14" i="24"/>
  <c r="R14" i="24"/>
  <c r="F19" i="1" s="1"/>
  <c r="G19" i="1" s="1"/>
  <c r="H19" i="1" s="1"/>
  <c r="H16" i="1"/>
  <c r="I16" i="1" s="1"/>
  <c r="J16" i="1" s="1"/>
  <c r="K16" i="1" s="1"/>
  <c r="L16" i="1" s="1"/>
  <c r="M16" i="1" s="1"/>
  <c r="N16" i="1" s="1"/>
  <c r="O16" i="1" s="1"/>
  <c r="P16" i="1" s="1"/>
  <c r="Q16" i="1" s="1"/>
  <c r="R16" i="1" s="1"/>
  <c r="A43" i="1"/>
  <c r="C33" i="19"/>
  <c r="C32" i="19"/>
  <c r="I19" i="1" l="1"/>
  <c r="J19" i="1" s="1"/>
  <c r="K19" i="1" s="1"/>
  <c r="L19" i="1" s="1"/>
  <c r="M19" i="1"/>
  <c r="N19" i="1" s="1"/>
  <c r="O19" i="1" s="1"/>
  <c r="P19" i="1" s="1"/>
  <c r="Q19" i="1" s="1"/>
  <c r="R19" i="1" s="1"/>
  <c r="E31" i="2"/>
  <c r="D28" i="28"/>
  <c r="E28" i="28" s="1"/>
  <c r="G28" i="28" s="1"/>
  <c r="D28" i="25"/>
  <c r="E28" i="25" s="1"/>
  <c r="F60" i="1" s="1"/>
  <c r="D28" i="17"/>
  <c r="E28" i="17" s="1"/>
  <c r="G28" i="25" l="1"/>
  <c r="M60" i="1"/>
  <c r="N60" i="1" s="1"/>
  <c r="O60" i="1" s="1"/>
  <c r="P60" i="1" s="1"/>
  <c r="Q60" i="1" s="1"/>
  <c r="R60" i="1" s="1"/>
  <c r="S60" i="1" s="1"/>
  <c r="G28" i="17"/>
  <c r="I60" i="1"/>
  <c r="J60" i="1" s="1"/>
  <c r="K60" i="1" s="1"/>
  <c r="L60" i="1" s="1"/>
  <c r="G60" i="1"/>
  <c r="H60" i="1" s="1"/>
  <c r="C20" i="27"/>
  <c r="G20" i="27" s="1"/>
  <c r="H20" i="27" s="1"/>
  <c r="B20" i="27"/>
  <c r="A20" i="27"/>
  <c r="C19" i="27"/>
  <c r="B19" i="27"/>
  <c r="N19" i="27" s="1"/>
  <c r="M31" i="1" s="1"/>
  <c r="N31" i="1" s="1"/>
  <c r="O31" i="1" s="1"/>
  <c r="P31" i="1" s="1"/>
  <c r="Q31" i="1" s="1"/>
  <c r="R31" i="1" s="1"/>
  <c r="A19" i="27"/>
  <c r="A18" i="27"/>
  <c r="C17" i="27"/>
  <c r="B17" i="27"/>
  <c r="A17" i="27"/>
  <c r="C16" i="27"/>
  <c r="B16" i="27"/>
  <c r="A16" i="27"/>
  <c r="A15" i="27"/>
  <c r="C14" i="27"/>
  <c r="B14" i="27"/>
  <c r="A14" i="27"/>
  <c r="C13" i="27"/>
  <c r="B13" i="27"/>
  <c r="A13" i="27"/>
  <c r="C12" i="27"/>
  <c r="A12" i="27"/>
  <c r="C11" i="27"/>
  <c r="A11" i="27"/>
  <c r="A10" i="27"/>
  <c r="A9" i="27"/>
  <c r="A8" i="27"/>
  <c r="A7" i="27"/>
  <c r="F27" i="26"/>
  <c r="F69" i="28"/>
  <c r="G68" i="28"/>
  <c r="G67" i="28"/>
  <c r="E59" i="28"/>
  <c r="G59" i="28" s="1"/>
  <c r="E58" i="28"/>
  <c r="E57" i="28"/>
  <c r="E54" i="28"/>
  <c r="E52" i="28"/>
  <c r="D52" i="28" s="1"/>
  <c r="D51" i="28"/>
  <c r="E50" i="28"/>
  <c r="D50" i="28" s="1"/>
  <c r="E49" i="28"/>
  <c r="D49" i="28"/>
  <c r="E45" i="28"/>
  <c r="D44" i="28"/>
  <c r="E44" i="28" s="1"/>
  <c r="G37" i="28"/>
  <c r="G36" i="28" s="1"/>
  <c r="F36" i="28"/>
  <c r="E36" i="28"/>
  <c r="E33" i="28"/>
  <c r="G33" i="28" s="1"/>
  <c r="E32" i="28"/>
  <c r="F31" i="28"/>
  <c r="E30" i="28"/>
  <c r="E29" i="28" s="1"/>
  <c r="F29" i="28"/>
  <c r="D27" i="28"/>
  <c r="E27" i="28" s="1"/>
  <c r="G27" i="28" s="1"/>
  <c r="D26" i="28"/>
  <c r="F25" i="28"/>
  <c r="A17" i="28"/>
  <c r="C16" i="28"/>
  <c r="G15" i="28"/>
  <c r="C15" i="28"/>
  <c r="A15" i="28"/>
  <c r="G1" i="28"/>
  <c r="N31" i="27"/>
  <c r="M31" i="27"/>
  <c r="N29" i="27"/>
  <c r="M29" i="27"/>
  <c r="N28" i="27"/>
  <c r="M28" i="27"/>
  <c r="O28" i="27" s="1"/>
  <c r="N27" i="27"/>
  <c r="M27" i="27"/>
  <c r="N20" i="27"/>
  <c r="M35" i="1" s="1"/>
  <c r="N35" i="1" s="1"/>
  <c r="O35" i="1" s="1"/>
  <c r="P35" i="1" s="1"/>
  <c r="Q35" i="1" s="1"/>
  <c r="R35" i="1" s="1"/>
  <c r="G19" i="27"/>
  <c r="H19" i="27" s="1"/>
  <c r="N17" i="27"/>
  <c r="M27" i="1" s="1"/>
  <c r="N27" i="1" s="1"/>
  <c r="O27" i="1" s="1"/>
  <c r="P27" i="1" s="1"/>
  <c r="Q27" i="1" s="1"/>
  <c r="R27" i="1" s="1"/>
  <c r="M17" i="27"/>
  <c r="G17" i="27"/>
  <c r="H17" i="27" s="1"/>
  <c r="G16" i="27"/>
  <c r="H16" i="27" s="1"/>
  <c r="N16" i="27"/>
  <c r="M23" i="1" s="1"/>
  <c r="N23" i="1" s="1"/>
  <c r="O23" i="1" s="1"/>
  <c r="P23" i="1" s="1"/>
  <c r="Q23" i="1" s="1"/>
  <c r="R23" i="1" s="1"/>
  <c r="M14" i="27"/>
  <c r="G14" i="27"/>
  <c r="H14" i="27" s="1"/>
  <c r="N14" i="27"/>
  <c r="N13" i="27"/>
  <c r="M15" i="1" s="1"/>
  <c r="N15" i="1" s="1"/>
  <c r="O15" i="1" s="1"/>
  <c r="P15" i="1" s="1"/>
  <c r="Q15" i="1" s="1"/>
  <c r="R15" i="1" s="1"/>
  <c r="M13" i="27"/>
  <c r="G13" i="27"/>
  <c r="H13" i="27" s="1"/>
  <c r="G11" i="27"/>
  <c r="H11" i="27" s="1"/>
  <c r="G9" i="27"/>
  <c r="H9" i="27" s="1"/>
  <c r="H43" i="26"/>
  <c r="D43" i="26"/>
  <c r="E43" i="26" s="1"/>
  <c r="A43" i="26"/>
  <c r="A48" i="26" s="1"/>
  <c r="A42" i="26"/>
  <c r="A47" i="26" s="1"/>
  <c r="B41" i="26"/>
  <c r="C18" i="26"/>
  <c r="C20" i="26" s="1"/>
  <c r="S60" i="5" l="1"/>
  <c r="E31" i="28"/>
  <c r="M19" i="27"/>
  <c r="E16" i="28"/>
  <c r="F16" i="28" s="1"/>
  <c r="F15" i="28" s="1"/>
  <c r="O29" i="27"/>
  <c r="E8" i="28"/>
  <c r="G8" i="28" s="1"/>
  <c r="D36" i="28"/>
  <c r="C18" i="19"/>
  <c r="D29" i="28"/>
  <c r="C16" i="19"/>
  <c r="M107" i="1"/>
  <c r="C21" i="19"/>
  <c r="M106" i="1"/>
  <c r="D31" i="28"/>
  <c r="C17" i="19"/>
  <c r="G32" i="28"/>
  <c r="G31" i="28" s="1"/>
  <c r="E56" i="28"/>
  <c r="M109" i="1" s="1"/>
  <c r="O31" i="27"/>
  <c r="M94" i="1"/>
  <c r="D25" i="28"/>
  <c r="E48" i="28"/>
  <c r="C20" i="19" s="1"/>
  <c r="M85" i="1"/>
  <c r="G30" i="28"/>
  <c r="G29" i="28" s="1"/>
  <c r="M59" i="1"/>
  <c r="E7" i="28"/>
  <c r="F7" i="28" s="1"/>
  <c r="O19" i="27"/>
  <c r="O13" i="27"/>
  <c r="O27" i="27"/>
  <c r="O17" i="27"/>
  <c r="O14" i="27"/>
  <c r="E43" i="28"/>
  <c r="C19" i="19" s="1"/>
  <c r="E26" i="28"/>
  <c r="M58" i="1" s="1"/>
  <c r="G57" i="28"/>
  <c r="M20" i="27"/>
  <c r="O20" i="27" s="1"/>
  <c r="C19" i="26"/>
  <c r="M16" i="27"/>
  <c r="O16" i="27" s="1"/>
  <c r="E15" i="28" l="1"/>
  <c r="D56" i="28"/>
  <c r="C23" i="19"/>
  <c r="D48" i="28"/>
  <c r="M87" i="1"/>
  <c r="D43" i="28"/>
  <c r="M86" i="1"/>
  <c r="F6" i="28"/>
  <c r="G7" i="28"/>
  <c r="E6" i="28"/>
  <c r="E25" i="28"/>
  <c r="C15" i="19" s="1"/>
  <c r="G26" i="28"/>
  <c r="G6" i="28" l="1"/>
  <c r="G25" i="28"/>
  <c r="C20" i="24" l="1"/>
  <c r="G20" i="24" s="1"/>
  <c r="H20" i="24" s="1"/>
  <c r="B20" i="24"/>
  <c r="A20" i="24"/>
  <c r="C19" i="24"/>
  <c r="B19" i="24"/>
  <c r="A19" i="24"/>
  <c r="A18" i="24"/>
  <c r="C17" i="24"/>
  <c r="B17" i="24"/>
  <c r="N17" i="24" s="1"/>
  <c r="F27" i="1" s="1"/>
  <c r="G27" i="1" s="1"/>
  <c r="H27" i="1" s="1"/>
  <c r="C16" i="24"/>
  <c r="B16" i="24"/>
  <c r="A16" i="24"/>
  <c r="A15" i="24"/>
  <c r="C14" i="24"/>
  <c r="B14" i="24"/>
  <c r="A14" i="24"/>
  <c r="C13" i="24"/>
  <c r="G13" i="24" s="1"/>
  <c r="H13" i="24" s="1"/>
  <c r="B13" i="24"/>
  <c r="A13" i="24"/>
  <c r="C12" i="24"/>
  <c r="A12" i="24"/>
  <c r="C11" i="24"/>
  <c r="G11" i="24" s="1"/>
  <c r="H11" i="24" s="1"/>
  <c r="A11" i="24"/>
  <c r="A10" i="24"/>
  <c r="A9" i="24"/>
  <c r="A8" i="24"/>
  <c r="A7" i="24"/>
  <c r="F27" i="23"/>
  <c r="F69" i="25"/>
  <c r="G68" i="25"/>
  <c r="G67" i="25"/>
  <c r="E59" i="25"/>
  <c r="G59" i="25" s="1"/>
  <c r="E58" i="25"/>
  <c r="E57" i="25"/>
  <c r="E54" i="25"/>
  <c r="F107" i="1" s="1"/>
  <c r="E52" i="25"/>
  <c r="D52" i="25" s="1"/>
  <c r="D51" i="25"/>
  <c r="E50" i="25"/>
  <c r="D50" i="25" s="1"/>
  <c r="E49" i="25"/>
  <c r="D49" i="25"/>
  <c r="E45" i="25"/>
  <c r="D44" i="25"/>
  <c r="E44" i="25" s="1"/>
  <c r="G37" i="25"/>
  <c r="F36" i="25"/>
  <c r="F94" i="1"/>
  <c r="E33" i="25"/>
  <c r="G33" i="25" s="1"/>
  <c r="E32" i="25"/>
  <c r="G32" i="25" s="1"/>
  <c r="F31" i="25"/>
  <c r="E30" i="25"/>
  <c r="G30" i="25" s="1"/>
  <c r="F29" i="25"/>
  <c r="D27" i="25"/>
  <c r="E27" i="25" s="1"/>
  <c r="F59" i="1" s="1"/>
  <c r="D26" i="25"/>
  <c r="E26" i="25" s="1"/>
  <c r="F58" i="1" s="1"/>
  <c r="F25" i="25"/>
  <c r="A17" i="25"/>
  <c r="C16" i="25"/>
  <c r="C15" i="25" s="1"/>
  <c r="C14" i="25" s="1"/>
  <c r="G15" i="25"/>
  <c r="A15" i="25"/>
  <c r="G1" i="25"/>
  <c r="N31" i="24"/>
  <c r="M31" i="24"/>
  <c r="N29" i="24"/>
  <c r="M29" i="24"/>
  <c r="N28" i="24"/>
  <c r="M28" i="24"/>
  <c r="N27" i="24"/>
  <c r="M27" i="24"/>
  <c r="N20" i="24"/>
  <c r="F35" i="1" s="1"/>
  <c r="G35" i="1" s="1"/>
  <c r="H35" i="1" s="1"/>
  <c r="M20" i="24"/>
  <c r="N19" i="24"/>
  <c r="F31" i="1" s="1"/>
  <c r="G31" i="1" s="1"/>
  <c r="H31" i="1" s="1"/>
  <c r="G19" i="24"/>
  <c r="H19" i="24" s="1"/>
  <c r="M19" i="24"/>
  <c r="G17" i="24"/>
  <c r="H17" i="24" s="1"/>
  <c r="G16" i="24"/>
  <c r="H16" i="24" s="1"/>
  <c r="N16" i="24"/>
  <c r="F23" i="1" s="1"/>
  <c r="G23" i="1" s="1"/>
  <c r="H23" i="1" s="1"/>
  <c r="G14" i="24"/>
  <c r="H14" i="24" s="1"/>
  <c r="N14" i="24"/>
  <c r="M13" i="24"/>
  <c r="G9" i="24"/>
  <c r="H9" i="24" s="1"/>
  <c r="H43" i="23"/>
  <c r="D43" i="23"/>
  <c r="E43" i="23" s="1"/>
  <c r="A43" i="23"/>
  <c r="A48" i="23" s="1"/>
  <c r="A42" i="23"/>
  <c r="A47" i="23" s="1"/>
  <c r="B41" i="23"/>
  <c r="E8" i="25"/>
  <c r="G8" i="25" s="1"/>
  <c r="E56" i="25" l="1"/>
  <c r="E16" i="25"/>
  <c r="F16" i="25" s="1"/>
  <c r="F15" i="25" s="1"/>
  <c r="O27" i="24"/>
  <c r="O28" i="24"/>
  <c r="O29" i="24"/>
  <c r="O31" i="24"/>
  <c r="G27" i="25"/>
  <c r="G59" i="1"/>
  <c r="G107" i="1"/>
  <c r="D56" i="25"/>
  <c r="G109" i="1"/>
  <c r="D25" i="25"/>
  <c r="D36" i="25"/>
  <c r="G94" i="1"/>
  <c r="G58" i="1"/>
  <c r="O20" i="24"/>
  <c r="O19" i="24"/>
  <c r="E25" i="25"/>
  <c r="G26" i="25"/>
  <c r="E43" i="25"/>
  <c r="F86" i="1" s="1"/>
  <c r="G29" i="25"/>
  <c r="G31" i="25"/>
  <c r="N13" i="24"/>
  <c r="F15" i="1" s="1"/>
  <c r="G15" i="1" s="1"/>
  <c r="H15" i="1" s="1"/>
  <c r="M14" i="24"/>
  <c r="O14" i="24" s="1"/>
  <c r="G36" i="25"/>
  <c r="E29" i="25"/>
  <c r="F106" i="1" s="1"/>
  <c r="E31" i="25"/>
  <c r="F85" i="1" s="1"/>
  <c r="G57" i="25"/>
  <c r="M16" i="24"/>
  <c r="O16" i="24" s="1"/>
  <c r="E7" i="25"/>
  <c r="E48" i="25"/>
  <c r="F87" i="1" s="1"/>
  <c r="M17" i="24"/>
  <c r="O17" i="24" s="1"/>
  <c r="E15" i="25" l="1"/>
  <c r="O13" i="24"/>
  <c r="D29" i="25"/>
  <c r="G106" i="1"/>
  <c r="D48" i="25"/>
  <c r="G87" i="1"/>
  <c r="D43" i="25"/>
  <c r="G86" i="1"/>
  <c r="D31" i="25"/>
  <c r="G85" i="1"/>
  <c r="F7" i="25"/>
  <c r="F6" i="25" s="1"/>
  <c r="E6" i="25"/>
  <c r="G25" i="25"/>
  <c r="G7" i="25" l="1"/>
  <c r="G6" i="25"/>
  <c r="D7" i="14" l="1"/>
  <c r="D6" i="14"/>
  <c r="C8" i="16"/>
  <c r="C7" i="14"/>
  <c r="C6" i="14"/>
  <c r="C9" i="27" l="1"/>
  <c r="C9" i="24"/>
  <c r="B9" i="27"/>
  <c r="B9" i="24"/>
  <c r="B8" i="27"/>
  <c r="B8" i="24"/>
  <c r="C8" i="27"/>
  <c r="G8" i="27" s="1"/>
  <c r="C8" i="24"/>
  <c r="G8" i="24" s="1"/>
  <c r="E17" i="11"/>
  <c r="F17" i="11"/>
  <c r="G17" i="11"/>
  <c r="H17" i="11"/>
  <c r="I17" i="11"/>
  <c r="J17" i="11"/>
  <c r="K17" i="11"/>
  <c r="L17" i="11"/>
  <c r="M17" i="11"/>
  <c r="N17" i="11"/>
  <c r="O17" i="11"/>
  <c r="P17" i="11"/>
  <c r="Q17" i="11"/>
  <c r="D17" i="11"/>
  <c r="N112" i="1"/>
  <c r="E32" i="18"/>
  <c r="F32" i="18"/>
  <c r="E49" i="17"/>
  <c r="E52" i="17"/>
  <c r="E50" i="17"/>
  <c r="D44" i="17"/>
  <c r="D27" i="17"/>
  <c r="D26" i="17"/>
  <c r="H8" i="24" l="1"/>
  <c r="G33" i="24"/>
  <c r="H8" i="27"/>
  <c r="G33" i="27"/>
  <c r="F7" i="1"/>
  <c r="G7" i="1" s="1"/>
  <c r="H7" i="1" s="1"/>
  <c r="M8" i="24"/>
  <c r="M8" i="27"/>
  <c r="N8" i="27"/>
  <c r="M7" i="1" s="1"/>
  <c r="N7" i="1" s="1"/>
  <c r="O7" i="1" s="1"/>
  <c r="P7" i="1" s="1"/>
  <c r="Q7" i="1" s="1"/>
  <c r="R7" i="1" s="1"/>
  <c r="N9" i="24"/>
  <c r="M9" i="24"/>
  <c r="N9" i="27"/>
  <c r="M9" i="27"/>
  <c r="U50" i="18"/>
  <c r="C2" i="21"/>
  <c r="A2" i="21"/>
  <c r="D7" i="21"/>
  <c r="D4" i="21"/>
  <c r="A5" i="21"/>
  <c r="A6" i="21"/>
  <c r="A7" i="21"/>
  <c r="A4" i="21"/>
  <c r="A29" i="19"/>
  <c r="B94" i="1"/>
  <c r="O9" i="24" l="1"/>
  <c r="O8" i="27"/>
  <c r="O8" i="24"/>
  <c r="O9" i="27"/>
  <c r="H33" i="27"/>
  <c r="M36" i="21" s="1"/>
  <c r="H33" i="24"/>
  <c r="D28" i="2"/>
  <c r="F39" i="2"/>
  <c r="F31" i="2"/>
  <c r="W13" i="18"/>
  <c r="W14" i="18"/>
  <c r="X14" i="18"/>
  <c r="W15" i="18"/>
  <c r="X15" i="18"/>
  <c r="W16" i="18"/>
  <c r="X16" i="18"/>
  <c r="Y16" i="18"/>
  <c r="B8" i="18"/>
  <c r="G8" i="18" s="1"/>
  <c r="H8" i="18" s="1"/>
  <c r="I8" i="18" s="1"/>
  <c r="B30" i="20"/>
  <c r="C30" i="20" s="1"/>
  <c r="D30" i="20" s="1"/>
  <c r="E30" i="20" s="1"/>
  <c r="F30" i="20" s="1"/>
  <c r="H7" i="18"/>
  <c r="I7" i="18"/>
  <c r="J7" i="18"/>
  <c r="K7" i="18"/>
  <c r="L7" i="18"/>
  <c r="M7" i="18"/>
  <c r="N7" i="18"/>
  <c r="O7" i="18"/>
  <c r="G7" i="18"/>
  <c r="J18" i="20"/>
  <c r="J16" i="20"/>
  <c r="B21" i="20"/>
  <c r="C21" i="20" s="1"/>
  <c r="D21" i="20" s="1"/>
  <c r="E21" i="20" s="1"/>
  <c r="F21" i="20" s="1"/>
  <c r="A12" i="20"/>
  <c r="A18" i="20" s="1"/>
  <c r="A21" i="20" s="1"/>
  <c r="A24" i="20" s="1"/>
  <c r="A27" i="20" s="1"/>
  <c r="A30" i="20" s="1"/>
  <c r="I8" i="24" l="1"/>
  <c r="K36" i="21"/>
  <c r="C6" i="19"/>
  <c r="I19" i="27"/>
  <c r="I13" i="27"/>
  <c r="I14" i="27"/>
  <c r="I20" i="27"/>
  <c r="I9" i="27"/>
  <c r="I17" i="27"/>
  <c r="I11" i="27"/>
  <c r="I16" i="27"/>
  <c r="I16" i="24"/>
  <c r="I17" i="24"/>
  <c r="I20" i="24"/>
  <c r="I9" i="24"/>
  <c r="I19" i="24"/>
  <c r="I11" i="24"/>
  <c r="I14" i="24"/>
  <c r="I13" i="24"/>
  <c r="I8" i="27"/>
  <c r="A37" i="18"/>
  <c r="A41" i="18" s="1"/>
  <c r="G9" i="18"/>
  <c r="H9" i="18"/>
  <c r="P7" i="18"/>
  <c r="J8" i="18"/>
  <c r="I9" i="18"/>
  <c r="B33" i="19"/>
  <c r="A32" i="19"/>
  <c r="A33" i="19"/>
  <c r="A23" i="19"/>
  <c r="A22" i="19"/>
  <c r="A21" i="19"/>
  <c r="A20" i="19"/>
  <c r="A19" i="19"/>
  <c r="A18" i="19"/>
  <c r="A17" i="19"/>
  <c r="A16" i="19"/>
  <c r="A15" i="19"/>
  <c r="A14" i="19"/>
  <c r="A7" i="19"/>
  <c r="A6" i="19"/>
  <c r="B32" i="19"/>
  <c r="G67" i="17"/>
  <c r="F69" i="17"/>
  <c r="G68" i="17"/>
  <c r="E59" i="17"/>
  <c r="G59" i="17" s="1"/>
  <c r="E58" i="17"/>
  <c r="E57" i="17"/>
  <c r="D52" i="17"/>
  <c r="D51" i="17"/>
  <c r="D50" i="17"/>
  <c r="D49" i="17"/>
  <c r="E45" i="17"/>
  <c r="E44" i="17"/>
  <c r="G37" i="17"/>
  <c r="G36" i="17" s="1"/>
  <c r="F36" i="17"/>
  <c r="E36" i="17"/>
  <c r="E33" i="17"/>
  <c r="G33" i="17" s="1"/>
  <c r="E32" i="17"/>
  <c r="F31" i="17"/>
  <c r="E30" i="17"/>
  <c r="G30" i="17" s="1"/>
  <c r="F29" i="17"/>
  <c r="E27" i="17"/>
  <c r="F25" i="17"/>
  <c r="A17" i="17"/>
  <c r="G15" i="17"/>
  <c r="A15" i="17"/>
  <c r="C20" i="16"/>
  <c r="G20" i="16" s="1"/>
  <c r="B20" i="16"/>
  <c r="A20" i="16"/>
  <c r="C19" i="16"/>
  <c r="B19" i="16"/>
  <c r="A19" i="16"/>
  <c r="A18" i="16"/>
  <c r="C17" i="16"/>
  <c r="B17" i="16"/>
  <c r="A17" i="16"/>
  <c r="C16" i="16"/>
  <c r="B16" i="16"/>
  <c r="A16" i="16"/>
  <c r="A15" i="16"/>
  <c r="C14" i="16"/>
  <c r="B14" i="16"/>
  <c r="A14" i="16"/>
  <c r="C13" i="16"/>
  <c r="B13" i="16"/>
  <c r="A13" i="16"/>
  <c r="C12" i="16"/>
  <c r="A12" i="16"/>
  <c r="C11" i="16"/>
  <c r="A11" i="16"/>
  <c r="A10" i="16"/>
  <c r="C9" i="16"/>
  <c r="B9" i="16"/>
  <c r="A9" i="16"/>
  <c r="B8" i="16"/>
  <c r="A8" i="16"/>
  <c r="A7" i="16"/>
  <c r="E31" i="17" l="1"/>
  <c r="I85" i="1" s="1"/>
  <c r="D36" i="17"/>
  <c r="I94" i="1"/>
  <c r="G27" i="17"/>
  <c r="I59" i="1"/>
  <c r="B17" i="19"/>
  <c r="E48" i="17"/>
  <c r="G10" i="18"/>
  <c r="G6" i="18" s="1"/>
  <c r="B18" i="19"/>
  <c r="D25" i="17"/>
  <c r="E56" i="17"/>
  <c r="I109" i="1" s="1"/>
  <c r="G32" i="17"/>
  <c r="G31" i="17" s="1"/>
  <c r="E26" i="17"/>
  <c r="G57" i="17"/>
  <c r="E29" i="17"/>
  <c r="I106" i="1" s="1"/>
  <c r="J13" i="18"/>
  <c r="P15" i="18"/>
  <c r="Y15" i="18" s="1"/>
  <c r="Q16" i="18"/>
  <c r="G12" i="18"/>
  <c r="O15" i="18"/>
  <c r="L14" i="18"/>
  <c r="H12" i="18"/>
  <c r="N14" i="18"/>
  <c r="K13" i="18"/>
  <c r="X13" i="18" s="1"/>
  <c r="L13" i="18"/>
  <c r="R16" i="18"/>
  <c r="I12" i="18"/>
  <c r="W12" i="18" s="1"/>
  <c r="Q15" i="18"/>
  <c r="M14" i="18"/>
  <c r="S16" i="18"/>
  <c r="Z16" i="18" s="1"/>
  <c r="Q7" i="18"/>
  <c r="K8" i="18"/>
  <c r="J9" i="18"/>
  <c r="J12" i="18" s="1"/>
  <c r="G29" i="17"/>
  <c r="E43" i="17"/>
  <c r="I86" i="1" s="1"/>
  <c r="N20" i="16"/>
  <c r="I35" i="1" s="1"/>
  <c r="J35" i="1" s="1"/>
  <c r="K35" i="1" s="1"/>
  <c r="L35" i="1" s="1"/>
  <c r="H20" i="16"/>
  <c r="M20" i="16"/>
  <c r="G19" i="16"/>
  <c r="H19" i="16" s="1"/>
  <c r="N19" i="16"/>
  <c r="I31" i="1" s="1"/>
  <c r="J31" i="1" s="1"/>
  <c r="K31" i="1" s="1"/>
  <c r="L31" i="1" s="1"/>
  <c r="N17" i="16"/>
  <c r="I27" i="1" s="1"/>
  <c r="J27" i="1" s="1"/>
  <c r="K27" i="1" s="1"/>
  <c r="L27" i="1" s="1"/>
  <c r="M17" i="16"/>
  <c r="G17" i="16"/>
  <c r="H17" i="16" s="1"/>
  <c r="N16" i="16"/>
  <c r="I23" i="1" s="1"/>
  <c r="J23" i="1" s="1"/>
  <c r="K23" i="1" s="1"/>
  <c r="L23" i="1" s="1"/>
  <c r="M16" i="16"/>
  <c r="G16" i="16"/>
  <c r="H16" i="16" s="1"/>
  <c r="G14" i="16"/>
  <c r="H14" i="16" s="1"/>
  <c r="N14" i="16"/>
  <c r="M13" i="16"/>
  <c r="G13" i="16"/>
  <c r="H13" i="16" s="1"/>
  <c r="N13" i="16"/>
  <c r="I15" i="1" s="1"/>
  <c r="J15" i="1" s="1"/>
  <c r="K15" i="1" s="1"/>
  <c r="L15" i="1" s="1"/>
  <c r="G11" i="16"/>
  <c r="H11" i="16" s="1"/>
  <c r="M9" i="16"/>
  <c r="G9" i="16"/>
  <c r="H9" i="16" s="1"/>
  <c r="N9" i="16"/>
  <c r="M8" i="16"/>
  <c r="G8" i="16"/>
  <c r="N8" i="16"/>
  <c r="I7" i="1" s="1"/>
  <c r="J7" i="1" s="1"/>
  <c r="K7" i="1" s="1"/>
  <c r="L7" i="1" s="1"/>
  <c r="F27" i="15"/>
  <c r="H43" i="15"/>
  <c r="D43" i="15"/>
  <c r="E43" i="15" s="1"/>
  <c r="A43" i="15"/>
  <c r="A48" i="15" s="1"/>
  <c r="A42" i="15"/>
  <c r="A47" i="15" s="1"/>
  <c r="B41" i="15"/>
  <c r="C18" i="15"/>
  <c r="C20" i="15" s="1"/>
  <c r="D42" i="14"/>
  <c r="C42" i="14"/>
  <c r="D39" i="14"/>
  <c r="C39" i="14"/>
  <c r="D38" i="14"/>
  <c r="C38" i="14"/>
  <c r="B32" i="14"/>
  <c r="B31" i="14"/>
  <c r="B30" i="14"/>
  <c r="D29" i="14"/>
  <c r="C29" i="14"/>
  <c r="B28" i="14"/>
  <c r="B27" i="14"/>
  <c r="B26" i="14"/>
  <c r="B39" i="14" s="1"/>
  <c r="B25" i="14"/>
  <c r="D24" i="14"/>
  <c r="C24" i="14"/>
  <c r="B22" i="14"/>
  <c r="B21" i="14"/>
  <c r="B20" i="14"/>
  <c r="D19" i="14"/>
  <c r="C19" i="14"/>
  <c r="B18" i="14"/>
  <c r="B17" i="14"/>
  <c r="B16" i="14"/>
  <c r="B15" i="14"/>
  <c r="C14" i="14"/>
  <c r="B12" i="14"/>
  <c r="C11" i="14"/>
  <c r="D10" i="14"/>
  <c r="B8" i="14"/>
  <c r="B7" i="14"/>
  <c r="B6" i="14"/>
  <c r="D5" i="14"/>
  <c r="C5" i="14"/>
  <c r="D31" i="17" l="1"/>
  <c r="C7" i="27"/>
  <c r="C7" i="24"/>
  <c r="C18" i="16"/>
  <c r="C18" i="27"/>
  <c r="C18" i="24"/>
  <c r="C10" i="16"/>
  <c r="C10" i="27"/>
  <c r="C10" i="24"/>
  <c r="B15" i="16"/>
  <c r="B15" i="27"/>
  <c r="B15" i="24"/>
  <c r="B18" i="16"/>
  <c r="B18" i="27"/>
  <c r="B18" i="24"/>
  <c r="C15" i="16"/>
  <c r="C15" i="27"/>
  <c r="C15" i="24"/>
  <c r="B7" i="16"/>
  <c r="B7" i="27"/>
  <c r="B7" i="24"/>
  <c r="B12" i="16"/>
  <c r="B12" i="27"/>
  <c r="B12" i="24"/>
  <c r="B38" i="14"/>
  <c r="C37" i="14"/>
  <c r="B11" i="27"/>
  <c r="B11" i="24"/>
  <c r="G27" i="15"/>
  <c r="G27" i="26"/>
  <c r="G27" i="23"/>
  <c r="H10" i="18"/>
  <c r="H6" i="18" s="1"/>
  <c r="D48" i="17"/>
  <c r="I87" i="1"/>
  <c r="G26" i="17"/>
  <c r="G25" i="17" s="1"/>
  <c r="I58" i="1"/>
  <c r="B5" i="14"/>
  <c r="B20" i="19"/>
  <c r="B11" i="14"/>
  <c r="D43" i="14"/>
  <c r="H64" i="14"/>
  <c r="B23" i="19"/>
  <c r="D56" i="17"/>
  <c r="B24" i="14"/>
  <c r="B19" i="19"/>
  <c r="D43" i="17"/>
  <c r="B37" i="14"/>
  <c r="G41" i="18"/>
  <c r="C10" i="14"/>
  <c r="B11" i="16"/>
  <c r="B14" i="14"/>
  <c r="O20" i="16"/>
  <c r="D36" i="14"/>
  <c r="C7" i="16"/>
  <c r="B29" i="14"/>
  <c r="O16" i="16"/>
  <c r="E25" i="17"/>
  <c r="B15" i="19" s="1"/>
  <c r="B16" i="19"/>
  <c r="D29" i="17"/>
  <c r="G18" i="18"/>
  <c r="G45" i="18" s="1"/>
  <c r="G20" i="18"/>
  <c r="G22" i="18"/>
  <c r="G21" i="18"/>
  <c r="G37" i="18" s="1"/>
  <c r="G36" i="18" s="1"/>
  <c r="G19" i="18"/>
  <c r="G46" i="18" s="1"/>
  <c r="H18" i="18"/>
  <c r="H45" i="18" s="1"/>
  <c r="H20" i="18"/>
  <c r="H19" i="18"/>
  <c r="H46" i="18" s="1"/>
  <c r="H22" i="18"/>
  <c r="H21" i="18"/>
  <c r="H37" i="18" s="1"/>
  <c r="R15" i="18"/>
  <c r="I21" i="18"/>
  <c r="I37" i="18" s="1"/>
  <c r="I18" i="18"/>
  <c r="I20" i="18"/>
  <c r="I19" i="18"/>
  <c r="I46" i="18" s="1"/>
  <c r="I22" i="18"/>
  <c r="O14" i="18"/>
  <c r="M13" i="18"/>
  <c r="J21" i="18"/>
  <c r="J37" i="18" s="1"/>
  <c r="J22" i="18"/>
  <c r="J18" i="18"/>
  <c r="J45" i="18" s="1"/>
  <c r="J20" i="18"/>
  <c r="J19" i="18"/>
  <c r="J46" i="18" s="1"/>
  <c r="R7" i="18"/>
  <c r="L8" i="18"/>
  <c r="K9" i="18"/>
  <c r="O8" i="16"/>
  <c r="O17" i="16"/>
  <c r="O13" i="16"/>
  <c r="O9" i="16"/>
  <c r="G33" i="16"/>
  <c r="H8" i="16"/>
  <c r="M14" i="16"/>
  <c r="O14" i="16" s="1"/>
  <c r="M19" i="16"/>
  <c r="O19" i="16" s="1"/>
  <c r="C19" i="15"/>
  <c r="E42" i="14"/>
  <c r="C43" i="14"/>
  <c r="E43" i="14" s="1"/>
  <c r="B19" i="14"/>
  <c r="B42" i="14"/>
  <c r="I10" i="18" l="1"/>
  <c r="J10" i="18" s="1"/>
  <c r="J41" i="18" s="1"/>
  <c r="H41" i="18"/>
  <c r="H40" i="18" s="1"/>
  <c r="B10" i="27"/>
  <c r="B10" i="24"/>
  <c r="B43" i="14"/>
  <c r="M11" i="24"/>
  <c r="N11" i="24"/>
  <c r="N11" i="27"/>
  <c r="M11" i="27"/>
  <c r="C36" i="14"/>
  <c r="E38" i="14" s="1"/>
  <c r="G34" i="18"/>
  <c r="G47" i="18"/>
  <c r="I27" i="18"/>
  <c r="I34" i="18" s="1"/>
  <c r="I47" i="18"/>
  <c r="W18" i="18"/>
  <c r="I45" i="18"/>
  <c r="J27" i="18"/>
  <c r="J34" i="18" s="1"/>
  <c r="J47" i="18"/>
  <c r="H27" i="18"/>
  <c r="H34" i="18" s="1"/>
  <c r="H47" i="18"/>
  <c r="B6" i="19"/>
  <c r="J36" i="18"/>
  <c r="N11" i="16"/>
  <c r="M11" i="16"/>
  <c r="M33" i="16" s="1"/>
  <c r="B10" i="14"/>
  <c r="B36" i="14" s="1"/>
  <c r="B10" i="16"/>
  <c r="I6" i="18"/>
  <c r="G24" i="18"/>
  <c r="G32" i="18" s="1"/>
  <c r="I36" i="18"/>
  <c r="H36" i="18"/>
  <c r="W10" i="18"/>
  <c r="I41" i="18"/>
  <c r="J40" i="18"/>
  <c r="K12" i="18"/>
  <c r="X12" i="18" s="1"/>
  <c r="P14" i="18"/>
  <c r="Y14" i="18" s="1"/>
  <c r="N13" i="18"/>
  <c r="M8" i="18"/>
  <c r="L9" i="18"/>
  <c r="L12" i="18" s="1"/>
  <c r="K10" i="18"/>
  <c r="J6" i="18"/>
  <c r="S7" i="18"/>
  <c r="H33" i="16"/>
  <c r="L36" i="21" s="1"/>
  <c r="N33" i="16" l="1"/>
  <c r="N34" i="16" s="1"/>
  <c r="C28" i="21" s="1"/>
  <c r="F35" i="21" s="1"/>
  <c r="I11" i="1"/>
  <c r="J11" i="1" s="1"/>
  <c r="K11" i="1" s="1"/>
  <c r="L11" i="1" s="1"/>
  <c r="N33" i="27"/>
  <c r="D27" i="26" s="1"/>
  <c r="D28" i="26" s="1"/>
  <c r="M11" i="1"/>
  <c r="N11" i="1" s="1"/>
  <c r="O11" i="1" s="1"/>
  <c r="P11" i="1" s="1"/>
  <c r="Q11" i="1" s="1"/>
  <c r="R11" i="1" s="1"/>
  <c r="E37" i="14"/>
  <c r="N33" i="24"/>
  <c r="D27" i="23" s="1"/>
  <c r="G11" i="1"/>
  <c r="H11" i="1" s="1"/>
  <c r="C27" i="15"/>
  <c r="C28" i="15" s="1"/>
  <c r="C35" i="26"/>
  <c r="C35" i="23"/>
  <c r="O11" i="27"/>
  <c r="O33" i="27" s="1"/>
  <c r="M33" i="27"/>
  <c r="N34" i="27" s="1"/>
  <c r="D28" i="21" s="1"/>
  <c r="H35" i="21" s="1"/>
  <c r="O11" i="24"/>
  <c r="O33" i="24" s="1"/>
  <c r="M33" i="24"/>
  <c r="N34" i="24" s="1"/>
  <c r="B28" i="21" s="1"/>
  <c r="D35" i="21" s="1"/>
  <c r="C27" i="26"/>
  <c r="C27" i="23"/>
  <c r="O11" i="16"/>
  <c r="O33" i="16" s="1"/>
  <c r="O34" i="16" s="1"/>
  <c r="I40" i="18"/>
  <c r="I8" i="16"/>
  <c r="X10" i="18"/>
  <c r="K41" i="18"/>
  <c r="Q14" i="18"/>
  <c r="O13" i="18"/>
  <c r="L20" i="18"/>
  <c r="L19" i="18"/>
  <c r="L46" i="18" s="1"/>
  <c r="L21" i="18"/>
  <c r="L37" i="18" s="1"/>
  <c r="L22" i="18"/>
  <c r="L18" i="18"/>
  <c r="L45" i="18" s="1"/>
  <c r="K22" i="18"/>
  <c r="K18" i="18"/>
  <c r="K21" i="18"/>
  <c r="K37" i="18" s="1"/>
  <c r="K20" i="18"/>
  <c r="K19" i="18"/>
  <c r="K46" i="18" s="1"/>
  <c r="S15" i="18"/>
  <c r="Z15" i="18" s="1"/>
  <c r="L10" i="18"/>
  <c r="L41" i="18" s="1"/>
  <c r="K6" i="18"/>
  <c r="N8" i="18"/>
  <c r="M9" i="18"/>
  <c r="P13" i="18" s="1"/>
  <c r="Y13" i="18" s="1"/>
  <c r="I11" i="16"/>
  <c r="I13" i="16"/>
  <c r="I14" i="16"/>
  <c r="I20" i="16"/>
  <c r="I9" i="16"/>
  <c r="I19" i="16"/>
  <c r="I16" i="16"/>
  <c r="I17" i="16"/>
  <c r="G28" i="15" l="1"/>
  <c r="F28" i="15"/>
  <c r="E27" i="23"/>
  <c r="E28" i="23" s="1"/>
  <c r="O34" i="24"/>
  <c r="D35" i="23"/>
  <c r="D37" i="23" s="1"/>
  <c r="C48" i="23"/>
  <c r="C49" i="23" s="1"/>
  <c r="C37" i="23"/>
  <c r="D28" i="23"/>
  <c r="D35" i="26"/>
  <c r="E35" i="26" s="1"/>
  <c r="O34" i="27"/>
  <c r="E27" i="26"/>
  <c r="E28" i="26" s="1"/>
  <c r="C28" i="23"/>
  <c r="F28" i="23"/>
  <c r="G28" i="23"/>
  <c r="F28" i="26"/>
  <c r="C28" i="26"/>
  <c r="G28" i="26"/>
  <c r="C48" i="26"/>
  <c r="C49" i="26" s="1"/>
  <c r="C37" i="26"/>
  <c r="X18" i="18"/>
  <c r="K45" i="18"/>
  <c r="K27" i="18"/>
  <c r="K34" i="18" s="1"/>
  <c r="K47" i="18"/>
  <c r="L27" i="18"/>
  <c r="L34" i="18" s="1"/>
  <c r="L47" i="18"/>
  <c r="K40" i="18"/>
  <c r="L36" i="18"/>
  <c r="G6" i="19"/>
  <c r="K36" i="18"/>
  <c r="L40" i="18"/>
  <c r="R14" i="18"/>
  <c r="M12" i="18"/>
  <c r="O8" i="18"/>
  <c r="N9" i="18"/>
  <c r="Q13" i="18" s="1"/>
  <c r="M10" i="18"/>
  <c r="M41" i="18" s="1"/>
  <c r="L6" i="18"/>
  <c r="E35" i="23" l="1"/>
  <c r="C36" i="23" s="1"/>
  <c r="E10" i="25" s="1"/>
  <c r="C22" i="28"/>
  <c r="C21" i="28"/>
  <c r="E36" i="26"/>
  <c r="E37" i="26"/>
  <c r="C38" i="26" s="1"/>
  <c r="C36" i="26"/>
  <c r="D37" i="26"/>
  <c r="D36" i="26"/>
  <c r="M40" i="18"/>
  <c r="N12" i="18"/>
  <c r="M18" i="18"/>
  <c r="M45" i="18" s="1"/>
  <c r="M19" i="18"/>
  <c r="M46" i="18" s="1"/>
  <c r="M21" i="18"/>
  <c r="M37" i="18" s="1"/>
  <c r="M22" i="18"/>
  <c r="M20" i="18"/>
  <c r="S14" i="18"/>
  <c r="Z14" i="18" s="1"/>
  <c r="N10" i="18"/>
  <c r="N41" i="18" s="1"/>
  <c r="M6" i="18"/>
  <c r="P8" i="18"/>
  <c r="O9" i="18"/>
  <c r="R13" i="18" s="1"/>
  <c r="G40" i="18"/>
  <c r="AD86" i="18"/>
  <c r="AD85" i="18" s="1"/>
  <c r="AB85" i="18"/>
  <c r="AB83" i="18"/>
  <c r="AB84" i="18" s="1"/>
  <c r="AB82" i="18"/>
  <c r="AD82" i="18" s="1"/>
  <c r="AC81" i="18"/>
  <c r="AA81" i="18"/>
  <c r="F60" i="18"/>
  <c r="F26" i="18"/>
  <c r="E26" i="18"/>
  <c r="E36" i="23" l="1"/>
  <c r="E37" i="23"/>
  <c r="C38" i="23" s="1"/>
  <c r="D36" i="23"/>
  <c r="C20" i="28"/>
  <c r="M84" i="1" s="1"/>
  <c r="C18" i="25"/>
  <c r="E18" i="25" s="1"/>
  <c r="F84" i="1"/>
  <c r="F45" i="25"/>
  <c r="F52" i="25"/>
  <c r="F50" i="25"/>
  <c r="F49" i="25"/>
  <c r="F54" i="25"/>
  <c r="H44" i="24" s="1"/>
  <c r="F51" i="25"/>
  <c r="F44" i="25"/>
  <c r="F58" i="25"/>
  <c r="F56" i="25" s="1"/>
  <c r="H45" i="24" s="1"/>
  <c r="D38" i="23"/>
  <c r="E38" i="23"/>
  <c r="C18" i="28"/>
  <c r="F51" i="28"/>
  <c r="F50" i="28"/>
  <c r="F49" i="28"/>
  <c r="F44" i="28"/>
  <c r="F45" i="28"/>
  <c r="F58" i="28"/>
  <c r="F56" i="28" s="1"/>
  <c r="H45" i="27" s="1"/>
  <c r="F52" i="28"/>
  <c r="F54" i="28"/>
  <c r="H44" i="27" s="1"/>
  <c r="D38" i="26"/>
  <c r="E38" i="26"/>
  <c r="C19" i="25"/>
  <c r="F25" i="18"/>
  <c r="F33" i="18"/>
  <c r="E11" i="28"/>
  <c r="G11" i="28" s="1"/>
  <c r="C19" i="28"/>
  <c r="E19" i="28" s="1"/>
  <c r="G19" i="28" s="1"/>
  <c r="F10" i="25"/>
  <c r="F9" i="25" s="1"/>
  <c r="F5" i="25" s="1"/>
  <c r="H39" i="24" s="1"/>
  <c r="E25" i="18"/>
  <c r="E33" i="18"/>
  <c r="M27" i="18"/>
  <c r="M34" i="18" s="1"/>
  <c r="M47" i="18"/>
  <c r="M36" i="18"/>
  <c r="N40" i="18"/>
  <c r="O12" i="18"/>
  <c r="N20" i="18"/>
  <c r="N21" i="18"/>
  <c r="N37" i="18" s="1"/>
  <c r="N18" i="18"/>
  <c r="N45" i="18" s="1"/>
  <c r="N19" i="18"/>
  <c r="N46" i="18" s="1"/>
  <c r="N22" i="18"/>
  <c r="N23" i="18" s="1"/>
  <c r="N31" i="18" s="1"/>
  <c r="Q8" i="18"/>
  <c r="P9" i="18"/>
  <c r="P12" i="18" s="1"/>
  <c r="Y12" i="18" s="1"/>
  <c r="O10" i="18"/>
  <c r="O41" i="18" s="1"/>
  <c r="N6" i="18"/>
  <c r="W37" i="18"/>
  <c r="X42" i="18"/>
  <c r="K24" i="18"/>
  <c r="K32" i="18" s="1"/>
  <c r="J23" i="18"/>
  <c r="J31" i="18" s="1"/>
  <c r="L23" i="18"/>
  <c r="L31" i="18" s="1"/>
  <c r="W6" i="18"/>
  <c r="X6" i="18"/>
  <c r="W41" i="18"/>
  <c r="X37" i="18"/>
  <c r="X21" i="18"/>
  <c r="E22" i="18"/>
  <c r="W21" i="18"/>
  <c r="F22" i="18"/>
  <c r="F31" i="18" s="1"/>
  <c r="G60" i="18"/>
  <c r="AD83" i="18"/>
  <c r="AD84" i="18" s="1"/>
  <c r="F18" i="25" l="1"/>
  <c r="F17" i="25" s="1"/>
  <c r="F14" i="25" s="1"/>
  <c r="H40" i="24" s="1"/>
  <c r="F20" i="28"/>
  <c r="H41" i="27" s="1"/>
  <c r="G20" i="25"/>
  <c r="G84" i="1"/>
  <c r="F20" i="25"/>
  <c r="F48" i="28"/>
  <c r="H43" i="27" s="1"/>
  <c r="G43" i="27" s="1"/>
  <c r="F43" i="25"/>
  <c r="H42" i="24" s="1"/>
  <c r="G42" i="24" s="1"/>
  <c r="G40" i="24"/>
  <c r="G58" i="28"/>
  <c r="G45" i="28"/>
  <c r="G49" i="28"/>
  <c r="G54" i="28"/>
  <c r="G52" i="28"/>
  <c r="G51" i="28"/>
  <c r="G50" i="28"/>
  <c r="G44" i="28"/>
  <c r="G44" i="24"/>
  <c r="E18" i="28"/>
  <c r="C17" i="28"/>
  <c r="C14" i="28" s="1"/>
  <c r="F48" i="25"/>
  <c r="H43" i="24" s="1"/>
  <c r="E11" i="25"/>
  <c r="G44" i="27"/>
  <c r="E10" i="28"/>
  <c r="G17" i="28"/>
  <c r="G20" i="28"/>
  <c r="G45" i="27"/>
  <c r="G10" i="25"/>
  <c r="G54" i="25"/>
  <c r="G58" i="25"/>
  <c r="G51" i="25"/>
  <c r="G52" i="25"/>
  <c r="G49" i="25"/>
  <c r="G44" i="25"/>
  <c r="G45" i="25"/>
  <c r="G50" i="25"/>
  <c r="G39" i="24"/>
  <c r="E19" i="25"/>
  <c r="E17" i="25" s="1"/>
  <c r="E14" i="25" s="1"/>
  <c r="F43" i="28"/>
  <c r="H42" i="27" s="1"/>
  <c r="G42" i="27" s="1"/>
  <c r="G45" i="24"/>
  <c r="N27" i="18"/>
  <c r="N34" i="18" s="1"/>
  <c r="N47" i="18"/>
  <c r="N36" i="18"/>
  <c r="O20" i="18"/>
  <c r="O40" i="18"/>
  <c r="S13" i="18"/>
  <c r="Z13" i="18" s="1"/>
  <c r="O22" i="18"/>
  <c r="O21" i="18"/>
  <c r="O37" i="18" s="1"/>
  <c r="O18" i="18"/>
  <c r="O45" i="18" s="1"/>
  <c r="O19" i="18"/>
  <c r="O46" i="18" s="1"/>
  <c r="P18" i="18"/>
  <c r="P20" i="18"/>
  <c r="P19" i="18"/>
  <c r="P46" i="18" s="1"/>
  <c r="P22" i="18"/>
  <c r="P21" i="18"/>
  <c r="P37" i="18" s="1"/>
  <c r="P10" i="18"/>
  <c r="O6" i="18"/>
  <c r="R8" i="18"/>
  <c r="Q9" i="18"/>
  <c r="Q12" i="18" s="1"/>
  <c r="K23" i="18"/>
  <c r="K31" i="18" s="1"/>
  <c r="W42" i="18"/>
  <c r="W40" i="18" s="1"/>
  <c r="W38" i="18"/>
  <c r="K26" i="18"/>
  <c r="K33" i="18" s="1"/>
  <c r="L24" i="18"/>
  <c r="L32" i="18" s="1"/>
  <c r="J24" i="18"/>
  <c r="J32" i="18" s="1"/>
  <c r="N24" i="18"/>
  <c r="N32" i="18" s="1"/>
  <c r="H60" i="18"/>
  <c r="F27" i="18"/>
  <c r="F34" i="18" s="1"/>
  <c r="F30" i="18" s="1"/>
  <c r="M23" i="18"/>
  <c r="M31" i="18" s="1"/>
  <c r="M24" i="18"/>
  <c r="M32" i="18" s="1"/>
  <c r="W22" i="18"/>
  <c r="X22" i="18"/>
  <c r="G23" i="18"/>
  <c r="G31" i="18" s="1"/>
  <c r="E31" i="18"/>
  <c r="I23" i="18"/>
  <c r="I31" i="18" s="1"/>
  <c r="I24" i="18"/>
  <c r="I32" i="18" s="1"/>
  <c r="W20" i="18"/>
  <c r="X20" i="18"/>
  <c r="E27" i="18"/>
  <c r="E34" i="18" s="1"/>
  <c r="X41" i="18"/>
  <c r="X40" i="18" s="1"/>
  <c r="W36" i="18"/>
  <c r="H24" i="18"/>
  <c r="H32" i="18" s="1"/>
  <c r="H23" i="18"/>
  <c r="H31" i="18" s="1"/>
  <c r="F4" i="25" l="1"/>
  <c r="F62" i="25" s="1"/>
  <c r="F71" i="25" s="1"/>
  <c r="H41" i="24"/>
  <c r="H47" i="24" s="1"/>
  <c r="H49" i="24" s="1"/>
  <c r="G48" i="25"/>
  <c r="E9" i="28"/>
  <c r="E5" i="28" s="1"/>
  <c r="F10" i="28"/>
  <c r="F9" i="28" s="1"/>
  <c r="F5" i="28" s="1"/>
  <c r="H39" i="27" s="1"/>
  <c r="G43" i="24"/>
  <c r="F18" i="28"/>
  <c r="F17" i="28" s="1"/>
  <c r="F14" i="28" s="1"/>
  <c r="E17" i="28"/>
  <c r="E14" i="28" s="1"/>
  <c r="G48" i="28"/>
  <c r="G41" i="27"/>
  <c r="G56" i="25"/>
  <c r="G56" i="28"/>
  <c r="G43" i="28"/>
  <c r="G43" i="25"/>
  <c r="G19" i="25"/>
  <c r="F83" i="1"/>
  <c r="G14" i="28"/>
  <c r="G11" i="25"/>
  <c r="G9" i="25" s="1"/>
  <c r="E9" i="25"/>
  <c r="E5" i="25" s="1"/>
  <c r="F82" i="1" s="1"/>
  <c r="O27" i="18"/>
  <c r="O34" i="18" s="1"/>
  <c r="O47" i="18"/>
  <c r="Y18" i="18"/>
  <c r="P45" i="18"/>
  <c r="P27" i="18"/>
  <c r="P34" i="18" s="1"/>
  <c r="P47" i="18"/>
  <c r="O36" i="18"/>
  <c r="N28" i="18"/>
  <c r="L28" i="18"/>
  <c r="K28" i="18"/>
  <c r="K25" i="18"/>
  <c r="Y10" i="18"/>
  <c r="P41" i="18"/>
  <c r="J28" i="18"/>
  <c r="Y20" i="18"/>
  <c r="O24" i="18"/>
  <c r="O32" i="18" s="1"/>
  <c r="O23" i="18"/>
  <c r="O31" i="18" s="1"/>
  <c r="Y22" i="18"/>
  <c r="H28" i="18"/>
  <c r="P24" i="18"/>
  <c r="P32" i="18" s="1"/>
  <c r="P23" i="18"/>
  <c r="P31" i="18" s="1"/>
  <c r="M28" i="18"/>
  <c r="I28" i="18"/>
  <c r="Y37" i="18"/>
  <c r="Y21" i="18"/>
  <c r="Q21" i="18"/>
  <c r="Q37" i="18" s="1"/>
  <c r="Q18" i="18"/>
  <c r="Q45" i="18" s="1"/>
  <c r="Q20" i="18"/>
  <c r="Q47" i="18" s="1"/>
  <c r="Q19" i="18"/>
  <c r="Q46" i="18" s="1"/>
  <c r="Q22" i="18"/>
  <c r="S8" i="18"/>
  <c r="S9" i="18" s="1"/>
  <c r="R9" i="18"/>
  <c r="Q10" i="18"/>
  <c r="Q41" i="18" s="1"/>
  <c r="P6" i="18"/>
  <c r="Y6" i="18" s="1"/>
  <c r="F53" i="18"/>
  <c r="N26" i="18"/>
  <c r="J26" i="18"/>
  <c r="J33" i="18" s="1"/>
  <c r="L26" i="18"/>
  <c r="L33" i="18" s="1"/>
  <c r="E30" i="18"/>
  <c r="X45" i="18"/>
  <c r="C20" i="21" s="1"/>
  <c r="W45" i="18"/>
  <c r="F28" i="18"/>
  <c r="X19" i="18"/>
  <c r="Y19" i="18"/>
  <c r="W19" i="18"/>
  <c r="I60" i="18"/>
  <c r="H62" i="18"/>
  <c r="M26" i="18"/>
  <c r="H26" i="18"/>
  <c r="H33" i="18" s="1"/>
  <c r="W23" i="18"/>
  <c r="X23" i="18"/>
  <c r="I26" i="18"/>
  <c r="I33" i="18" s="1"/>
  <c r="E28" i="18"/>
  <c r="G26" i="18"/>
  <c r="X24" i="18"/>
  <c r="W24" i="18"/>
  <c r="G41" i="24" l="1"/>
  <c r="G47" i="24" s="1"/>
  <c r="I39" i="24"/>
  <c r="I42" i="24"/>
  <c r="I43" i="24"/>
  <c r="I45" i="24"/>
  <c r="I44" i="24"/>
  <c r="I40" i="24"/>
  <c r="I41" i="24"/>
  <c r="G10" i="28"/>
  <c r="G9" i="28" s="1"/>
  <c r="G82" i="1"/>
  <c r="G5" i="25"/>
  <c r="G83" i="1"/>
  <c r="M83" i="1"/>
  <c r="E4" i="28"/>
  <c r="G39" i="27"/>
  <c r="G17" i="25"/>
  <c r="H40" i="27"/>
  <c r="F4" i="28"/>
  <c r="F62" i="28" s="1"/>
  <c r="F71" i="28" s="1"/>
  <c r="M82" i="1"/>
  <c r="G5" i="28"/>
  <c r="O26" i="18"/>
  <c r="N25" i="18"/>
  <c r="N33" i="18"/>
  <c r="N30" i="18" s="1"/>
  <c r="M25" i="18"/>
  <c r="M33" i="18"/>
  <c r="M30" i="18" s="1"/>
  <c r="M53" i="18" s="1"/>
  <c r="M55" i="18" s="1"/>
  <c r="G25" i="18"/>
  <c r="G33" i="18"/>
  <c r="G30" i="18" s="1"/>
  <c r="U9" i="18"/>
  <c r="P40" i="18"/>
  <c r="Y24" i="18"/>
  <c r="Q36" i="18"/>
  <c r="Y45" i="18"/>
  <c r="E20" i="21" s="1"/>
  <c r="H25" i="18"/>
  <c r="H30" i="18"/>
  <c r="H53" i="18" s="1"/>
  <c r="H55" i="18" s="1"/>
  <c r="J25" i="18"/>
  <c r="J30" i="18"/>
  <c r="J53" i="18" s="1"/>
  <c r="J55" i="18" s="1"/>
  <c r="P36" i="18"/>
  <c r="L25" i="18"/>
  <c r="L30" i="18"/>
  <c r="L53" i="18" s="1"/>
  <c r="L55" i="18" s="1"/>
  <c r="I25" i="18"/>
  <c r="I30" i="18"/>
  <c r="I53" i="18" s="1"/>
  <c r="I55" i="18" s="1"/>
  <c r="P26" i="18"/>
  <c r="Y32" i="18"/>
  <c r="E17" i="21" s="1"/>
  <c r="K30" i="18"/>
  <c r="Q40" i="18"/>
  <c r="Y42" i="18"/>
  <c r="O28" i="18"/>
  <c r="P28" i="18"/>
  <c r="Y23" i="18"/>
  <c r="S12" i="18"/>
  <c r="Z12" i="18" s="1"/>
  <c r="R12" i="18"/>
  <c r="Q27" i="18"/>
  <c r="Q34" i="18" s="1"/>
  <c r="Q23" i="18"/>
  <c r="Q31" i="18" s="1"/>
  <c r="Q24" i="18"/>
  <c r="Q32" i="18" s="1"/>
  <c r="R10" i="18"/>
  <c r="R41" i="18" s="1"/>
  <c r="Q6" i="18"/>
  <c r="G28" i="18"/>
  <c r="W28" i="18" s="1"/>
  <c r="Y46" i="18"/>
  <c r="E21" i="21" s="1"/>
  <c r="F64" i="18"/>
  <c r="Y27" i="18"/>
  <c r="X27" i="18"/>
  <c r="W27" i="18"/>
  <c r="J60" i="18"/>
  <c r="I62" i="18"/>
  <c r="Y31" i="18"/>
  <c r="E16" i="21" s="1"/>
  <c r="X31" i="18"/>
  <c r="C16" i="21" s="1"/>
  <c r="W31" i="18"/>
  <c r="X38" i="18"/>
  <c r="X36" i="18"/>
  <c r="C14" i="21" s="1"/>
  <c r="X47" i="18"/>
  <c r="C22" i="21" s="1"/>
  <c r="W47" i="18"/>
  <c r="Y47" i="18"/>
  <c r="E22" i="21" s="1"/>
  <c r="Y41" i="18"/>
  <c r="X26" i="18"/>
  <c r="W26" i="18"/>
  <c r="X32" i="18"/>
  <c r="C17" i="21" s="1"/>
  <c r="W32" i="18"/>
  <c r="F44" i="1" l="1"/>
  <c r="G44" i="1"/>
  <c r="H44" i="1" s="1"/>
  <c r="I47" i="24"/>
  <c r="G49" i="24"/>
  <c r="D4" i="25"/>
  <c r="G4" i="28"/>
  <c r="G40" i="27"/>
  <c r="G47" i="27" s="1"/>
  <c r="M44" i="1" s="1"/>
  <c r="N44" i="1" s="1"/>
  <c r="O44" i="1" s="1"/>
  <c r="P44" i="1" s="1"/>
  <c r="Q44" i="1" s="1"/>
  <c r="R44" i="1" s="1"/>
  <c r="S44" i="1" s="1"/>
  <c r="H47" i="27"/>
  <c r="I40" i="27" s="1"/>
  <c r="G14" i="25"/>
  <c r="C14" i="19"/>
  <c r="D4" i="28"/>
  <c r="H64" i="18"/>
  <c r="H66" i="18" s="1"/>
  <c r="P25" i="18"/>
  <c r="P33" i="18"/>
  <c r="P30" i="18" s="1"/>
  <c r="O25" i="18"/>
  <c r="O33" i="18"/>
  <c r="O30" i="18" s="1"/>
  <c r="Y40" i="18"/>
  <c r="X25" i="18"/>
  <c r="I64" i="18"/>
  <c r="I66" i="18" s="1"/>
  <c r="W25" i="18"/>
  <c r="Y26" i="18"/>
  <c r="S22" i="18"/>
  <c r="S23" i="18" s="1"/>
  <c r="S31" i="18" s="1"/>
  <c r="R40" i="18"/>
  <c r="S19" i="18"/>
  <c r="S46" i="18" s="1"/>
  <c r="S21" i="18"/>
  <c r="S20" i="18"/>
  <c r="S18" i="18"/>
  <c r="Q28" i="18"/>
  <c r="R22" i="18"/>
  <c r="R18" i="18"/>
  <c r="R45" i="18" s="1"/>
  <c r="R21" i="18"/>
  <c r="R37" i="18" s="1"/>
  <c r="R36" i="18" s="1"/>
  <c r="R20" i="18"/>
  <c r="R47" i="18" s="1"/>
  <c r="R19" i="18"/>
  <c r="R46" i="18" s="1"/>
  <c r="Q26" i="18"/>
  <c r="Q33" i="18" s="1"/>
  <c r="S10" i="18"/>
  <c r="R6" i="18"/>
  <c r="X28" i="18"/>
  <c r="Y28" i="18"/>
  <c r="N53" i="18"/>
  <c r="N55" i="18" s="1"/>
  <c r="K53" i="18"/>
  <c r="K55" i="18" s="1"/>
  <c r="X46" i="18"/>
  <c r="C21" i="21" s="1"/>
  <c r="W46" i="18"/>
  <c r="K60" i="18"/>
  <c r="J64" i="18"/>
  <c r="J62" i="18"/>
  <c r="E53" i="18"/>
  <c r="Y38" i="18"/>
  <c r="Y36" i="18"/>
  <c r="E14" i="21" s="1"/>
  <c r="X33" i="18"/>
  <c r="C19" i="21" s="1"/>
  <c r="W33" i="18"/>
  <c r="G53" i="18"/>
  <c r="X30" i="18"/>
  <c r="W30" i="18"/>
  <c r="S45" i="1" l="1"/>
  <c r="S44" i="5"/>
  <c r="Y25" i="18"/>
  <c r="Y33" i="18"/>
  <c r="E19" i="21" s="1"/>
  <c r="G49" i="27"/>
  <c r="I42" i="27"/>
  <c r="C7" i="19"/>
  <c r="H49" i="27"/>
  <c r="I44" i="27"/>
  <c r="I43" i="27"/>
  <c r="I45" i="27"/>
  <c r="I41" i="27"/>
  <c r="I39" i="27"/>
  <c r="G4" i="25"/>
  <c r="Z18" i="18"/>
  <c r="S45" i="18"/>
  <c r="S27" i="18"/>
  <c r="S34" i="18" s="1"/>
  <c r="S47" i="18"/>
  <c r="S37" i="18"/>
  <c r="AA85" i="18"/>
  <c r="Z21" i="18"/>
  <c r="Y30" i="18"/>
  <c r="Z10" i="18"/>
  <c r="S41" i="18"/>
  <c r="S24" i="18"/>
  <c r="S32" i="18" s="1"/>
  <c r="Z19" i="18"/>
  <c r="Q25" i="18"/>
  <c r="R24" i="18"/>
  <c r="R32" i="18" s="1"/>
  <c r="R23" i="18"/>
  <c r="R31" i="18" s="1"/>
  <c r="Z22" i="18"/>
  <c r="R27" i="18"/>
  <c r="R34" i="18" s="1"/>
  <c r="Z20" i="18"/>
  <c r="S6" i="18"/>
  <c r="W34" i="18"/>
  <c r="P53" i="18"/>
  <c r="P55" i="18" s="1"/>
  <c r="X34" i="18"/>
  <c r="C18" i="21" s="1"/>
  <c r="Y34" i="18"/>
  <c r="E18" i="21" s="1"/>
  <c r="K64" i="18"/>
  <c r="O53" i="18"/>
  <c r="O55" i="18" s="1"/>
  <c r="J66" i="18"/>
  <c r="K62" i="18"/>
  <c r="L60" i="18"/>
  <c r="G64" i="18"/>
  <c r="E64" i="18"/>
  <c r="S45" i="5" l="1"/>
  <c r="S53" i="5" s="1"/>
  <c r="S53" i="1"/>
  <c r="R13" i="8" s="1"/>
  <c r="R20" i="8" s="1"/>
  <c r="I47" i="27"/>
  <c r="S40" i="18"/>
  <c r="S36" i="18"/>
  <c r="AC85" i="18"/>
  <c r="Z37" i="18"/>
  <c r="Z6" i="18"/>
  <c r="U6" i="18"/>
  <c r="U38" i="18"/>
  <c r="AC86" i="18" s="1"/>
  <c r="Z38" i="18"/>
  <c r="Z41" i="18"/>
  <c r="Q30" i="18"/>
  <c r="S26" i="18"/>
  <c r="S28" i="18"/>
  <c r="R26" i="18"/>
  <c r="R33" i="18" s="1"/>
  <c r="Z24" i="18"/>
  <c r="Z46" i="18"/>
  <c r="G21" i="21" s="1"/>
  <c r="Z47" i="18"/>
  <c r="G22" i="21" s="1"/>
  <c r="Z27" i="18"/>
  <c r="Z45" i="18"/>
  <c r="G20" i="21" s="1"/>
  <c r="R28" i="18"/>
  <c r="Z23" i="18"/>
  <c r="AC83" i="18"/>
  <c r="AA83" i="18"/>
  <c r="K66" i="18"/>
  <c r="L64" i="18"/>
  <c r="L62" i="18"/>
  <c r="M60" i="18"/>
  <c r="H73" i="18"/>
  <c r="S55" i="5" l="1"/>
  <c r="R39" i="11"/>
  <c r="R41" i="11" s="1"/>
  <c r="R7" i="11"/>
  <c r="R11" i="11" s="1"/>
  <c r="S25" i="18"/>
  <c r="S33" i="18"/>
  <c r="S30" i="18" s="1"/>
  <c r="S53" i="18" s="1"/>
  <c r="S55" i="18" s="1"/>
  <c r="Z42" i="18"/>
  <c r="Z40" i="18" s="1"/>
  <c r="U42" i="18"/>
  <c r="Z32" i="18"/>
  <c r="G17" i="21" s="1"/>
  <c r="Z36" i="18"/>
  <c r="G14" i="21" s="1"/>
  <c r="Z34" i="18"/>
  <c r="G18" i="21" s="1"/>
  <c r="Z31" i="18"/>
  <c r="G16" i="21" s="1"/>
  <c r="Q53" i="18"/>
  <c r="AA82" i="18"/>
  <c r="Z28" i="18"/>
  <c r="R25" i="18"/>
  <c r="Z26" i="18"/>
  <c r="L66" i="18"/>
  <c r="N60" i="18"/>
  <c r="M62" i="18"/>
  <c r="M64" i="18"/>
  <c r="Q55" i="18" l="1"/>
  <c r="R30" i="18"/>
  <c r="AC82" i="18" s="1"/>
  <c r="Z33" i="18"/>
  <c r="G19" i="21" s="1"/>
  <c r="Z25" i="18"/>
  <c r="M66" i="18"/>
  <c r="N62" i="18"/>
  <c r="O60" i="18"/>
  <c r="N64" i="18"/>
  <c r="R53" i="18" l="1"/>
  <c r="Z30" i="18"/>
  <c r="N66" i="18"/>
  <c r="O62" i="18"/>
  <c r="P60" i="18"/>
  <c r="O64" i="18"/>
  <c r="R55" i="18" l="1"/>
  <c r="O66" i="18"/>
  <c r="Q60" i="18"/>
  <c r="P62" i="18"/>
  <c r="P64" i="18"/>
  <c r="P66" i="18" l="1"/>
  <c r="Q64" i="18"/>
  <c r="Q62" i="18"/>
  <c r="R60" i="18"/>
  <c r="R62" i="18" l="1"/>
  <c r="S60" i="18"/>
  <c r="R64" i="18"/>
  <c r="Q66" i="18"/>
  <c r="R66" i="18" l="1"/>
  <c r="S62" i="18"/>
  <c r="S64" i="18"/>
  <c r="S66" i="18" l="1"/>
  <c r="C4" i="10"/>
  <c r="D4" i="10" s="1"/>
  <c r="E4" i="10" s="1"/>
  <c r="F4" i="10" s="1"/>
  <c r="G4" i="10" s="1"/>
  <c r="H4" i="10" s="1"/>
  <c r="I4" i="10" s="1"/>
  <c r="J4" i="10" s="1"/>
  <c r="K4" i="10" s="1"/>
  <c r="L4" i="10" s="1"/>
  <c r="M4" i="10" s="1"/>
  <c r="N4" i="10" s="1"/>
  <c r="O4" i="10" s="1"/>
  <c r="P4" i="10" s="1"/>
  <c r="C3" i="10"/>
  <c r="D3" i="10" s="1"/>
  <c r="E3" i="10" s="1"/>
  <c r="F3" i="10" s="1"/>
  <c r="G3" i="10" s="1"/>
  <c r="H3" i="10" s="1"/>
  <c r="I3" i="10" s="1"/>
  <c r="J3" i="10" s="1"/>
  <c r="K3" i="10" s="1"/>
  <c r="L3" i="10" s="1"/>
  <c r="M3" i="10" s="1"/>
  <c r="N3" i="10" s="1"/>
  <c r="O3" i="10" s="1"/>
  <c r="P3" i="10" s="1"/>
  <c r="E30" i="2" l="1"/>
  <c r="B82" i="1" l="1"/>
  <c r="B83" i="1"/>
  <c r="B58" i="1"/>
  <c r="B59" i="1"/>
  <c r="H59" i="1"/>
  <c r="B60" i="1"/>
  <c r="A106" i="1"/>
  <c r="H106" i="1"/>
  <c r="J106" i="1" s="1"/>
  <c r="K106" i="1" s="1"/>
  <c r="L106" i="1" s="1"/>
  <c r="N106" i="1" s="1"/>
  <c r="O106" i="1" s="1"/>
  <c r="P106" i="1" s="1"/>
  <c r="Q106" i="1" s="1"/>
  <c r="R106" i="1" s="1"/>
  <c r="B85" i="1"/>
  <c r="H85" i="1"/>
  <c r="J85" i="1" s="1"/>
  <c r="K85" i="1" s="1"/>
  <c r="L85" i="1" s="1"/>
  <c r="N85" i="1" s="1"/>
  <c r="O85" i="1" s="1"/>
  <c r="P85" i="1" s="1"/>
  <c r="Q85" i="1" s="1"/>
  <c r="R85" i="1" s="1"/>
  <c r="S85" i="1" s="1"/>
  <c r="S85" i="5" s="1"/>
  <c r="H94" i="1"/>
  <c r="J94" i="1" s="1"/>
  <c r="K94" i="1" s="1"/>
  <c r="L94" i="1" s="1"/>
  <c r="N94" i="1" s="1"/>
  <c r="O94" i="1" s="1"/>
  <c r="P94" i="1" s="1"/>
  <c r="Q94" i="1" s="1"/>
  <c r="R94" i="1" s="1"/>
  <c r="S94" i="1" s="1"/>
  <c r="S94" i="5" s="1"/>
  <c r="B95" i="1"/>
  <c r="D95" i="1"/>
  <c r="E95" i="1" s="1"/>
  <c r="F95" i="1" s="1"/>
  <c r="G95" i="1" s="1"/>
  <c r="H95" i="1" s="1"/>
  <c r="I95" i="1" s="1"/>
  <c r="J95" i="1" s="1"/>
  <c r="K95" i="1" s="1"/>
  <c r="L95" i="1" s="1"/>
  <c r="M95" i="1" s="1"/>
  <c r="N95" i="1" s="1"/>
  <c r="O95" i="1" s="1"/>
  <c r="P95" i="1" s="1"/>
  <c r="Q95" i="1" s="1"/>
  <c r="R95" i="1" s="1"/>
  <c r="S95" i="1" s="1"/>
  <c r="S95" i="5" s="1"/>
  <c r="B96" i="1"/>
  <c r="D96" i="1"/>
  <c r="E96" i="1" s="1"/>
  <c r="F96" i="1" s="1"/>
  <c r="G96" i="1" s="1"/>
  <c r="H96" i="1" s="1"/>
  <c r="I96" i="1" s="1"/>
  <c r="J96" i="1" s="1"/>
  <c r="K96" i="1" s="1"/>
  <c r="L96" i="1" s="1"/>
  <c r="M96" i="1" s="1"/>
  <c r="N96" i="1" s="1"/>
  <c r="O96" i="1" s="1"/>
  <c r="P96" i="1" s="1"/>
  <c r="Q96" i="1" s="1"/>
  <c r="R96" i="1" s="1"/>
  <c r="S96" i="1" s="1"/>
  <c r="S96" i="5" s="1"/>
  <c r="B97" i="1"/>
  <c r="D97" i="1"/>
  <c r="E97" i="1" s="1"/>
  <c r="F97" i="1" s="1"/>
  <c r="G97" i="1" s="1"/>
  <c r="H97" i="1" s="1"/>
  <c r="I97" i="1" s="1"/>
  <c r="J97" i="1" s="1"/>
  <c r="K97" i="1" s="1"/>
  <c r="L97" i="1" s="1"/>
  <c r="M97" i="1" s="1"/>
  <c r="N97" i="1" s="1"/>
  <c r="O97" i="1" s="1"/>
  <c r="P97" i="1" s="1"/>
  <c r="Q97" i="1" s="1"/>
  <c r="R97" i="1" s="1"/>
  <c r="S97" i="1" s="1"/>
  <c r="S97" i="5" s="1"/>
  <c r="B98" i="1"/>
  <c r="D98" i="1"/>
  <c r="E98" i="1" s="1"/>
  <c r="F98" i="1" s="1"/>
  <c r="G98" i="1" s="1"/>
  <c r="H98" i="1" s="1"/>
  <c r="I98" i="1" s="1"/>
  <c r="J98" i="1" s="1"/>
  <c r="K98" i="1" s="1"/>
  <c r="L98" i="1" s="1"/>
  <c r="M98" i="1" s="1"/>
  <c r="N98" i="1" s="1"/>
  <c r="O98" i="1" s="1"/>
  <c r="P98" i="1" s="1"/>
  <c r="Q98" i="1" s="1"/>
  <c r="R98" i="1" s="1"/>
  <c r="S98" i="1" s="1"/>
  <c r="S98" i="5" s="1"/>
  <c r="B86" i="1"/>
  <c r="H86" i="1"/>
  <c r="J86" i="1" s="1"/>
  <c r="K86" i="1" s="1"/>
  <c r="L86" i="1" s="1"/>
  <c r="N86" i="1" s="1"/>
  <c r="O86" i="1" s="1"/>
  <c r="P86" i="1" s="1"/>
  <c r="Q86" i="1" s="1"/>
  <c r="R86" i="1" s="1"/>
  <c r="S86" i="1" s="1"/>
  <c r="S86" i="5" s="1"/>
  <c r="B87" i="1"/>
  <c r="H87" i="1"/>
  <c r="J87" i="1" s="1"/>
  <c r="K87" i="1" s="1"/>
  <c r="L87" i="1" s="1"/>
  <c r="N87" i="1" s="1"/>
  <c r="O87" i="1" s="1"/>
  <c r="P87" i="1" s="1"/>
  <c r="Q87" i="1" s="1"/>
  <c r="R87" i="1" s="1"/>
  <c r="S87" i="1" s="1"/>
  <c r="S87" i="5" s="1"/>
  <c r="A107" i="1"/>
  <c r="A108" i="1"/>
  <c r="H109" i="1"/>
  <c r="J109" i="1" s="1"/>
  <c r="K109" i="1" s="1"/>
  <c r="L109" i="1" s="1"/>
  <c r="N109" i="1" s="1"/>
  <c r="O109" i="1" s="1"/>
  <c r="P109" i="1" s="1"/>
  <c r="Q109" i="1" s="1"/>
  <c r="R109" i="1" s="1"/>
  <c r="S104" i="1" l="1"/>
  <c r="S104" i="5" s="1"/>
  <c r="J59" i="1"/>
  <c r="H58" i="1"/>
  <c r="J58" i="1" s="1"/>
  <c r="K58" i="1" s="1"/>
  <c r="L58" i="1" s="1"/>
  <c r="N58" i="1" s="1"/>
  <c r="O58" i="1" s="1"/>
  <c r="P58" i="1" s="1"/>
  <c r="Q58" i="1" s="1"/>
  <c r="R58" i="1" s="1"/>
  <c r="S58" i="1" s="1"/>
  <c r="D78" i="1"/>
  <c r="J10" i="2"/>
  <c r="O10" i="2"/>
  <c r="J11" i="2"/>
  <c r="O11" i="2"/>
  <c r="J12" i="2"/>
  <c r="O12" i="2"/>
  <c r="D20" i="11"/>
  <c r="E20" i="11"/>
  <c r="F20" i="11"/>
  <c r="G20" i="11"/>
  <c r="H20" i="11"/>
  <c r="I20" i="11"/>
  <c r="J20" i="11"/>
  <c r="K20" i="11"/>
  <c r="L20" i="11"/>
  <c r="M20" i="11"/>
  <c r="N20" i="11"/>
  <c r="O20" i="11"/>
  <c r="P20" i="11"/>
  <c r="Q20" i="11"/>
  <c r="C20" i="11"/>
  <c r="C16" i="13"/>
  <c r="S58" i="5" l="1"/>
  <c r="K59" i="1"/>
  <c r="C28" i="1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L59" i="1" l="1"/>
  <c r="N59" i="1" l="1"/>
  <c r="A116" i="5"/>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11" i="5"/>
  <c r="F11" i="5"/>
  <c r="G11" i="5"/>
  <c r="H11" i="5"/>
  <c r="I11" i="5"/>
  <c r="J11" i="5"/>
  <c r="K11" i="5"/>
  <c r="L11" i="5"/>
  <c r="M11" i="5"/>
  <c r="N11" i="5"/>
  <c r="O11" i="5"/>
  <c r="P11" i="5"/>
  <c r="Q11" i="5"/>
  <c r="R11"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47" i="5"/>
  <c r="D24" i="5"/>
  <c r="D23" i="5"/>
  <c r="D20" i="5"/>
  <c r="D19" i="5"/>
  <c r="D16" i="5"/>
  <c r="D15" i="5"/>
  <c r="D11" i="5"/>
  <c r="D7" i="5"/>
  <c r="A92" i="4"/>
  <c r="A116" i="4"/>
  <c r="A104" i="4"/>
  <c r="A94" i="4"/>
  <c r="A82" i="4"/>
  <c r="A58" i="4"/>
  <c r="E104" i="1"/>
  <c r="F104" i="1"/>
  <c r="G104" i="1"/>
  <c r="H104" i="1"/>
  <c r="I104" i="1"/>
  <c r="J104" i="1"/>
  <c r="K104" i="1"/>
  <c r="L104" i="1"/>
  <c r="E78" i="1"/>
  <c r="E79" i="1" s="1"/>
  <c r="F78" i="1"/>
  <c r="F79" i="1" s="1"/>
  <c r="G78" i="1"/>
  <c r="G79" i="1" s="1"/>
  <c r="H78" i="1"/>
  <c r="H79" i="1" s="1"/>
  <c r="I78" i="1"/>
  <c r="I79" i="1" s="1"/>
  <c r="J78" i="1"/>
  <c r="J79" i="1" s="1"/>
  <c r="K78" i="1"/>
  <c r="K79" i="1" s="1"/>
  <c r="L78" i="1"/>
  <c r="L79" i="1" s="1"/>
  <c r="M78" i="1"/>
  <c r="M79" i="1" s="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E3" i="18"/>
  <c r="E50" i="18" s="1"/>
  <c r="A39" i="2"/>
  <c r="A37" i="2"/>
  <c r="A35" i="2"/>
  <c r="A30" i="2"/>
  <c r="B31" i="2"/>
  <c r="B33" i="2"/>
  <c r="B34" i="2"/>
  <c r="B30" i="2"/>
  <c r="O59" i="1" l="1"/>
  <c r="C3" i="11"/>
  <c r="C35" i="11" s="1"/>
  <c r="D35" i="11" s="1"/>
  <c r="E35" i="11" s="1"/>
  <c r="F35" i="11" s="1"/>
  <c r="G35" i="11" s="1"/>
  <c r="H35" i="11" s="1"/>
  <c r="I35" i="11" s="1"/>
  <c r="J35" i="11" s="1"/>
  <c r="K35" i="11" s="1"/>
  <c r="L35" i="11" s="1"/>
  <c r="M35" i="11" s="1"/>
  <c r="N35" i="11" s="1"/>
  <c r="O35" i="11" s="1"/>
  <c r="P35" i="11" s="1"/>
  <c r="Q35" i="11" s="1"/>
  <c r="R35" i="11" s="1"/>
  <c r="D6" i="13"/>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G80" i="1"/>
  <c r="L80" i="1"/>
  <c r="D3" i="5"/>
  <c r="E3" i="5" s="1"/>
  <c r="F3" i="5" s="1"/>
  <c r="G3" i="5" s="1"/>
  <c r="H3" i="5" s="1"/>
  <c r="I3" i="5" s="1"/>
  <c r="J3" i="5" s="1"/>
  <c r="K3" i="5" s="1"/>
  <c r="L3" i="5" s="1"/>
  <c r="E3" i="1"/>
  <c r="D3" i="4"/>
  <c r="K80" i="1"/>
  <c r="M80" i="1"/>
  <c r="I80" i="1"/>
  <c r="E80" i="1"/>
  <c r="R17" i="1"/>
  <c r="R21" i="1"/>
  <c r="R25" i="1"/>
  <c r="R29" i="1"/>
  <c r="R33" i="1"/>
  <c r="R37" i="1"/>
  <c r="R41" i="1"/>
  <c r="R45" i="1"/>
  <c r="R104" i="1"/>
  <c r="F3" i="1" l="1"/>
  <c r="F3" i="18"/>
  <c r="F50" i="18" s="1"/>
  <c r="P59" i="1"/>
  <c r="D3" i="11"/>
  <c r="E3" i="11" s="1"/>
  <c r="F3" i="11" s="1"/>
  <c r="G3" i="11" s="1"/>
  <c r="H3" i="11" s="1"/>
  <c r="I3" i="11" s="1"/>
  <c r="J3" i="11" s="1"/>
  <c r="K3" i="11" s="1"/>
  <c r="L3" i="11" s="1"/>
  <c r="M3" i="11" s="1"/>
  <c r="N3" i="11" s="1"/>
  <c r="O3" i="11" s="1"/>
  <c r="P3" i="11" s="1"/>
  <c r="Q3" i="11" s="1"/>
  <c r="R3" i="11" s="1"/>
  <c r="J80" i="1"/>
  <c r="H80" i="1"/>
  <c r="F80" i="1"/>
  <c r="R58" i="5"/>
  <c r="R60" i="5"/>
  <c r="R62" i="5"/>
  <c r="R63" i="5"/>
  <c r="R64" i="5"/>
  <c r="R65" i="5"/>
  <c r="R66" i="5"/>
  <c r="R67" i="5"/>
  <c r="R68" i="5"/>
  <c r="R69" i="5"/>
  <c r="R70" i="5"/>
  <c r="R71" i="5"/>
  <c r="R72" i="5"/>
  <c r="R73" i="5"/>
  <c r="R74" i="5"/>
  <c r="R75" i="5"/>
  <c r="R76" i="5"/>
  <c r="R77" i="5"/>
  <c r="R85" i="5"/>
  <c r="R86" i="5"/>
  <c r="R87" i="5"/>
  <c r="R88" i="5"/>
  <c r="R89" i="5"/>
  <c r="R90" i="5"/>
  <c r="R91" i="5"/>
  <c r="R94" i="5"/>
  <c r="R95" i="5"/>
  <c r="R96" i="5"/>
  <c r="R97" i="5"/>
  <c r="R98" i="5"/>
  <c r="R99" i="5"/>
  <c r="R100" i="5"/>
  <c r="R101" i="5"/>
  <c r="R102" i="5"/>
  <c r="R103" i="5"/>
  <c r="R106" i="5"/>
  <c r="R109" i="5"/>
  <c r="R110" i="5"/>
  <c r="R111" i="5"/>
  <c r="R112" i="5"/>
  <c r="R113" i="5"/>
  <c r="R114" i="5"/>
  <c r="R115" i="5"/>
  <c r="L58" i="5"/>
  <c r="M58" i="5"/>
  <c r="N58" i="5"/>
  <c r="O58" i="5"/>
  <c r="P58" i="5"/>
  <c r="Q58" i="5"/>
  <c r="L59" i="5"/>
  <c r="M59" i="5"/>
  <c r="N59" i="5"/>
  <c r="O59" i="5"/>
  <c r="P59" i="5"/>
  <c r="L60" i="5"/>
  <c r="M60" i="5"/>
  <c r="N60" i="5"/>
  <c r="O60" i="5"/>
  <c r="P60" i="5"/>
  <c r="Q60" i="5"/>
  <c r="L61" i="5"/>
  <c r="M61" i="5"/>
  <c r="N61" i="5"/>
  <c r="O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G3" i="1" l="1"/>
  <c r="G3" i="18"/>
  <c r="Q59" i="1"/>
  <c r="P61" i="5"/>
  <c r="Q53" i="4"/>
  <c r="C3" i="8"/>
  <c r="D3" i="8" s="1"/>
  <c r="E3" i="8" s="1"/>
  <c r="F3" i="8" s="1"/>
  <c r="G3" i="8" s="1"/>
  <c r="H3" i="8" s="1"/>
  <c r="I3" i="8" s="1"/>
  <c r="J3" i="8" s="1"/>
  <c r="K3" i="8" s="1"/>
  <c r="L3" i="8" s="1"/>
  <c r="M3" i="8" s="1"/>
  <c r="N3" i="8" s="1"/>
  <c r="O3" i="8" s="1"/>
  <c r="P3" i="8" s="1"/>
  <c r="Q3" i="8" s="1"/>
  <c r="C41" i="8"/>
  <c r="D41" i="8" s="1"/>
  <c r="F41" i="8" s="1"/>
  <c r="G41" i="8" s="1"/>
  <c r="H41" i="8" s="1"/>
  <c r="I41" i="8" s="1"/>
  <c r="J41" i="8" s="1"/>
  <c r="K41" i="8" s="1"/>
  <c r="L41" i="8" s="1"/>
  <c r="M41" i="8" s="1"/>
  <c r="N41" i="8" s="1"/>
  <c r="O41" i="8" s="1"/>
  <c r="P41" i="8" s="1"/>
  <c r="Q41" i="8" s="1"/>
  <c r="R41" i="8" s="1"/>
  <c r="B5" i="20" l="1"/>
  <c r="G50" i="18"/>
  <c r="H3" i="1"/>
  <c r="H3" i="18"/>
  <c r="R59" i="1"/>
  <c r="S59" i="1" s="1"/>
  <c r="Q61" i="5"/>
  <c r="Q59" i="5"/>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8" i="2"/>
  <c r="E13" i="2"/>
  <c r="F13" i="2"/>
  <c r="F19" i="2" s="1"/>
  <c r="G13" i="2"/>
  <c r="G19" i="2" s="1"/>
  <c r="H13" i="2"/>
  <c r="H19" i="2" s="1"/>
  <c r="G47" i="11" s="1"/>
  <c r="I13" i="2"/>
  <c r="I19" i="2" s="1"/>
  <c r="D13" i="2"/>
  <c r="D19" i="2" s="1"/>
  <c r="S59" i="5" l="1"/>
  <c r="S78" i="1"/>
  <c r="J19" i="2"/>
  <c r="E55" i="25" s="1"/>
  <c r="F108" i="1" s="1"/>
  <c r="C5" i="20"/>
  <c r="H50" i="18"/>
  <c r="I3" i="1"/>
  <c r="I3" i="18"/>
  <c r="E66" i="25"/>
  <c r="E66" i="17"/>
  <c r="G66" i="17" s="1"/>
  <c r="E66" i="28"/>
  <c r="R61" i="5"/>
  <c r="R78" i="1"/>
  <c r="R59" i="5"/>
  <c r="F51" i="18"/>
  <c r="F62" i="18" s="1"/>
  <c r="D7" i="8"/>
  <c r="G51" i="18"/>
  <c r="G62" i="18" s="1"/>
  <c r="G66" i="18" s="1"/>
  <c r="E7" i="8"/>
  <c r="E51" i="18"/>
  <c r="E62" i="18" s="1"/>
  <c r="E66" i="18" s="1"/>
  <c r="E68" i="18" s="1"/>
  <c r="C7" i="8"/>
  <c r="E25" i="8"/>
  <c r="E47" i="11"/>
  <c r="H25" i="8"/>
  <c r="H47" i="11"/>
  <c r="C25" i="8"/>
  <c r="C47" i="11"/>
  <c r="F25" i="8"/>
  <c r="F47" i="11"/>
  <c r="J41" i="2"/>
  <c r="C16" i="7" s="1"/>
  <c r="H44" i="2"/>
  <c r="G25" i="8"/>
  <c r="I44" i="2"/>
  <c r="G44" i="2"/>
  <c r="E44" i="2"/>
  <c r="D25" i="8"/>
  <c r="F44" i="2"/>
  <c r="D44" i="2"/>
  <c r="J35" i="2"/>
  <c r="J4" i="2"/>
  <c r="O15" i="2"/>
  <c r="J15" i="2"/>
  <c r="O17" i="2"/>
  <c r="O8" i="2"/>
  <c r="O6" i="2"/>
  <c r="C6" i="7"/>
  <c r="S78" i="5" l="1"/>
  <c r="D66" i="17"/>
  <c r="E55" i="18"/>
  <c r="E57" i="18" s="1"/>
  <c r="D5" i="20"/>
  <c r="I50" i="18"/>
  <c r="E55" i="28"/>
  <c r="J3" i="1"/>
  <c r="J3" i="18"/>
  <c r="G66" i="25"/>
  <c r="D66" i="25"/>
  <c r="C31" i="19"/>
  <c r="B31" i="19" s="1"/>
  <c r="G66" i="28"/>
  <c r="D66" i="28"/>
  <c r="R79" i="1"/>
  <c r="U51" i="18"/>
  <c r="G55" i="18"/>
  <c r="F55" i="18"/>
  <c r="D75" i="18" s="1"/>
  <c r="C6" i="21" s="1"/>
  <c r="I5" i="21" s="1"/>
  <c r="F66" i="18"/>
  <c r="D74" i="18"/>
  <c r="C5" i="21" s="1"/>
  <c r="K41" i="2"/>
  <c r="C9" i="7"/>
  <c r="O19" i="2"/>
  <c r="O21" i="2" s="1"/>
  <c r="R3" i="13" s="1"/>
  <c r="R80" i="1" l="1"/>
  <c r="S79" i="1"/>
  <c r="E5" i="20"/>
  <c r="J50" i="18"/>
  <c r="C22" i="19"/>
  <c r="G55" i="28"/>
  <c r="D55" i="28"/>
  <c r="M108" i="1"/>
  <c r="E62" i="28"/>
  <c r="D55" i="25"/>
  <c r="G55" i="25"/>
  <c r="G108" i="1"/>
  <c r="E62" i="25"/>
  <c r="K3" i="1"/>
  <c r="K3" i="18"/>
  <c r="F57" i="18"/>
  <c r="G57" i="18" s="1"/>
  <c r="H57" i="18" s="1"/>
  <c r="I57" i="18" s="1"/>
  <c r="J57" i="18" s="1"/>
  <c r="K57" i="18" s="1"/>
  <c r="L57" i="18" s="1"/>
  <c r="M57" i="18" s="1"/>
  <c r="N57" i="18" s="1"/>
  <c r="O57" i="18" s="1"/>
  <c r="P57" i="18" s="1"/>
  <c r="Q57" i="18" s="1"/>
  <c r="R57" i="18" s="1"/>
  <c r="S57" i="18" s="1"/>
  <c r="T57" i="18" s="1"/>
  <c r="G73" i="18"/>
  <c r="F68" i="18"/>
  <c r="J17" i="2"/>
  <c r="J6" i="2"/>
  <c r="E2" i="2"/>
  <c r="F2" i="2" s="1"/>
  <c r="G2" i="2" s="1"/>
  <c r="H2" i="2" s="1"/>
  <c r="I2" i="2" s="1"/>
  <c r="S79" i="5" l="1"/>
  <c r="S80" i="1"/>
  <c r="S80" i="5" s="1"/>
  <c r="E65" i="17"/>
  <c r="E65" i="25"/>
  <c r="E65" i="28"/>
  <c r="D62" i="28"/>
  <c r="L3" i="1"/>
  <c r="L3" i="18"/>
  <c r="D62" i="25"/>
  <c r="G62" i="28"/>
  <c r="F5" i="20"/>
  <c r="K50" i="18"/>
  <c r="G62" i="25"/>
  <c r="G68" i="18"/>
  <c r="H68" i="18" s="1"/>
  <c r="I68" i="18" s="1"/>
  <c r="J68" i="18" s="1"/>
  <c r="K68" i="18" s="1"/>
  <c r="L68" i="18" s="1"/>
  <c r="M68" i="18" s="1"/>
  <c r="N68" i="18" s="1"/>
  <c r="O68" i="18" s="1"/>
  <c r="P68" i="18" s="1"/>
  <c r="Q68" i="18" s="1"/>
  <c r="R68" i="18" s="1"/>
  <c r="S68" i="18" s="1"/>
  <c r="T68" i="18" s="1"/>
  <c r="C43" i="4"/>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B7" i="4"/>
  <c r="R116" i="4"/>
  <c r="P116" i="4"/>
  <c r="O116" i="4"/>
  <c r="N116" i="4"/>
  <c r="M116" i="4"/>
  <c r="L116" i="4"/>
  <c r="K116" i="4"/>
  <c r="J116" i="4"/>
  <c r="I116" i="4"/>
  <c r="H116" i="4"/>
  <c r="G116" i="4"/>
  <c r="F116" i="4"/>
  <c r="E116" i="4"/>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J92" i="4"/>
  <c r="I92" i="4"/>
  <c r="H92" i="4"/>
  <c r="G92" i="4"/>
  <c r="F92" i="4"/>
  <c r="E92" i="4"/>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K45" i="4"/>
  <c r="J45" i="4"/>
  <c r="I45" i="4"/>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P13" i="4"/>
  <c r="O13" i="4"/>
  <c r="N13" i="4"/>
  <c r="M13" i="4"/>
  <c r="L13" i="4"/>
  <c r="K13" i="4"/>
  <c r="J13" i="4"/>
  <c r="I13" i="4"/>
  <c r="H13" i="4"/>
  <c r="G13" i="4"/>
  <c r="F13" i="4"/>
  <c r="E13" i="4"/>
  <c r="D13" i="4"/>
  <c r="R9" i="4"/>
  <c r="P9" i="4"/>
  <c r="O9" i="4"/>
  <c r="N9" i="4"/>
  <c r="M9" i="4"/>
  <c r="L9" i="4"/>
  <c r="K9" i="4"/>
  <c r="J9" i="4"/>
  <c r="I9" i="4"/>
  <c r="H9" i="4"/>
  <c r="G9" i="4"/>
  <c r="F9" i="4"/>
  <c r="E9" i="4"/>
  <c r="D9" i="4"/>
  <c r="H24" i="25" l="1"/>
  <c r="H57" i="25"/>
  <c r="H16" i="25"/>
  <c r="H32" i="25"/>
  <c r="H26" i="25"/>
  <c r="H28" i="25"/>
  <c r="H22" i="25"/>
  <c r="H8" i="25"/>
  <c r="H36" i="25"/>
  <c r="H39" i="25"/>
  <c r="H7" i="25"/>
  <c r="H21" i="25"/>
  <c r="H25" i="25"/>
  <c r="H6" i="25"/>
  <c r="H33" i="25"/>
  <c r="H23" i="25"/>
  <c r="H27" i="25"/>
  <c r="H31" i="25"/>
  <c r="H37" i="25"/>
  <c r="H18" i="25"/>
  <c r="H30" i="25"/>
  <c r="H38" i="25"/>
  <c r="H59" i="25"/>
  <c r="H15" i="25"/>
  <c r="H34" i="25"/>
  <c r="H35" i="25"/>
  <c r="H29" i="25"/>
  <c r="H20" i="25"/>
  <c r="H49" i="25"/>
  <c r="H52" i="25"/>
  <c r="H10" i="25"/>
  <c r="H45" i="25"/>
  <c r="H51" i="25"/>
  <c r="H54" i="25"/>
  <c r="H58" i="25"/>
  <c r="H50" i="25"/>
  <c r="H44" i="25"/>
  <c r="H11" i="25"/>
  <c r="H56" i="25"/>
  <c r="H19" i="25"/>
  <c r="H9" i="25"/>
  <c r="H48" i="25"/>
  <c r="H5" i="25"/>
  <c r="H17" i="25"/>
  <c r="H14" i="25"/>
  <c r="H4" i="25"/>
  <c r="E69" i="25"/>
  <c r="E71" i="25" s="1"/>
  <c r="D71" i="25" s="1"/>
  <c r="G65" i="25"/>
  <c r="G69" i="25" s="1"/>
  <c r="G71" i="25" s="1"/>
  <c r="H60" i="25" s="1"/>
  <c r="D65" i="25"/>
  <c r="D69" i="25" s="1"/>
  <c r="H55" i="25"/>
  <c r="C30" i="19"/>
  <c r="C29" i="19" s="1"/>
  <c r="E69" i="28"/>
  <c r="E71" i="28" s="1"/>
  <c r="D71" i="28" s="1"/>
  <c r="G65" i="28"/>
  <c r="G69" i="28" s="1"/>
  <c r="G71" i="28" s="1"/>
  <c r="H60" i="28" s="1"/>
  <c r="D65" i="28"/>
  <c r="D69" i="28" s="1"/>
  <c r="G5" i="20"/>
  <c r="L50" i="18"/>
  <c r="H23" i="28"/>
  <c r="H29" i="28"/>
  <c r="H57" i="28"/>
  <c r="H26" i="28"/>
  <c r="H24" i="28"/>
  <c r="H27" i="28"/>
  <c r="H6" i="28"/>
  <c r="H36" i="28"/>
  <c r="H7" i="28"/>
  <c r="H31" i="28"/>
  <c r="H28" i="28"/>
  <c r="H39" i="28"/>
  <c r="H22" i="28"/>
  <c r="H38" i="28"/>
  <c r="H15" i="28"/>
  <c r="H21" i="28"/>
  <c r="H32" i="28"/>
  <c r="H18" i="28"/>
  <c r="H25" i="28"/>
  <c r="H35" i="28"/>
  <c r="H8" i="28"/>
  <c r="H30" i="28"/>
  <c r="H59" i="28"/>
  <c r="H34" i="28"/>
  <c r="H33" i="28"/>
  <c r="H37" i="28"/>
  <c r="H16" i="28"/>
  <c r="H19" i="28"/>
  <c r="H11" i="28"/>
  <c r="H50" i="28"/>
  <c r="H51" i="28"/>
  <c r="H45" i="28"/>
  <c r="H20" i="28"/>
  <c r="H54" i="28"/>
  <c r="H49" i="28"/>
  <c r="H44" i="28"/>
  <c r="H17" i="28"/>
  <c r="H52" i="28"/>
  <c r="H58" i="28"/>
  <c r="H56" i="28"/>
  <c r="H48" i="28"/>
  <c r="H10" i="28"/>
  <c r="H14" i="28"/>
  <c r="H9" i="28"/>
  <c r="H5" i="28"/>
  <c r="H4" i="28"/>
  <c r="M3" i="1"/>
  <c r="M3" i="18"/>
  <c r="H55" i="28"/>
  <c r="E69" i="17"/>
  <c r="G65" i="17"/>
  <c r="G69" i="17" s="1"/>
  <c r="D65" i="17"/>
  <c r="D69" i="17" s="1"/>
  <c r="D76" i="18"/>
  <c r="C7" i="21" s="1"/>
  <c r="D73" i="18"/>
  <c r="C4" i="21" s="1"/>
  <c r="E78" i="5"/>
  <c r="E79" i="4"/>
  <c r="E79" i="5" s="1"/>
  <c r="I78" i="5"/>
  <c r="I79" i="4"/>
  <c r="I79" i="5" s="1"/>
  <c r="F78" i="5"/>
  <c r="F79" i="4"/>
  <c r="F79" i="5" s="1"/>
  <c r="J78" i="5"/>
  <c r="J79" i="4"/>
  <c r="J79" i="5" s="1"/>
  <c r="G78" i="5"/>
  <c r="G79" i="4"/>
  <c r="G79" i="5" s="1"/>
  <c r="K78" i="5"/>
  <c r="K79" i="4"/>
  <c r="H78" i="5"/>
  <c r="H79" i="4"/>
  <c r="H79" i="5" s="1"/>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104" i="1"/>
  <c r="D104" i="5" s="1"/>
  <c r="L104" i="5"/>
  <c r="M104" i="1"/>
  <c r="M104" i="5" s="1"/>
  <c r="N104" i="1"/>
  <c r="N104" i="5" s="1"/>
  <c r="O104" i="1"/>
  <c r="O104" i="5" s="1"/>
  <c r="P104" i="1"/>
  <c r="P104" i="5" s="1"/>
  <c r="Q104" i="1"/>
  <c r="Q104" i="5" s="1"/>
  <c r="R104" i="5"/>
  <c r="L78" i="5"/>
  <c r="M78" i="5"/>
  <c r="N78" i="1"/>
  <c r="N79" i="1" s="1"/>
  <c r="O78" i="1"/>
  <c r="O79" i="1" s="1"/>
  <c r="P78" i="1"/>
  <c r="P79" i="1" s="1"/>
  <c r="Q78" i="1"/>
  <c r="Q79" i="1" s="1"/>
  <c r="R78" i="5"/>
  <c r="M79" i="5"/>
  <c r="D45" i="1"/>
  <c r="D45" i="5" s="1"/>
  <c r="M45" i="1"/>
  <c r="M45" i="5" s="1"/>
  <c r="N45" i="1"/>
  <c r="N45" i="5" s="1"/>
  <c r="O45" i="1"/>
  <c r="O45" i="5" s="1"/>
  <c r="P45" i="1"/>
  <c r="P45" i="5" s="1"/>
  <c r="Q45" i="1"/>
  <c r="Q45"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B30" i="19" l="1"/>
  <c r="B29" i="19" s="1"/>
  <c r="H5" i="20"/>
  <c r="M50" i="18"/>
  <c r="N3" i="1"/>
  <c r="N3" i="18"/>
  <c r="D78" i="5"/>
  <c r="D79" i="1"/>
  <c r="D79" i="5" s="1"/>
  <c r="Q78" i="5"/>
  <c r="Q79" i="5"/>
  <c r="N78" i="5"/>
  <c r="N79" i="5"/>
  <c r="P78" i="5"/>
  <c r="P80" i="1"/>
  <c r="P80" i="5" s="1"/>
  <c r="O78" i="5"/>
  <c r="O79" i="5"/>
  <c r="P121" i="4"/>
  <c r="N121" i="4"/>
  <c r="R79" i="5"/>
  <c r="L121" i="4"/>
  <c r="K80" i="4"/>
  <c r="K79" i="5"/>
  <c r="L79" i="5"/>
  <c r="J80" i="4"/>
  <c r="J80" i="5" s="1"/>
  <c r="F80" i="4"/>
  <c r="I80" i="4"/>
  <c r="I80" i="5" s="1"/>
  <c r="E80" i="4"/>
  <c r="E80" i="5" s="1"/>
  <c r="H80" i="4"/>
  <c r="H80" i="5" s="1"/>
  <c r="D80" i="4"/>
  <c r="D118" i="4" s="1"/>
  <c r="D121" i="4" s="1"/>
  <c r="D124" i="4" s="1"/>
  <c r="G80" i="4"/>
  <c r="G80" i="5" s="1"/>
  <c r="R121" i="4"/>
  <c r="E3" i="4"/>
  <c r="F3" i="4" s="1"/>
  <c r="G3" i="4" s="1"/>
  <c r="H3" i="4" s="1"/>
  <c r="I3" i="4" s="1"/>
  <c r="J3" i="4" s="1"/>
  <c r="K3" i="4" s="1"/>
  <c r="L3" i="4" s="1"/>
  <c r="M3" i="4" s="1"/>
  <c r="N3" i="4" s="1"/>
  <c r="O3" i="4" s="1"/>
  <c r="P3" i="4" s="1"/>
  <c r="Q3" i="4" s="1"/>
  <c r="R3" i="4" s="1"/>
  <c r="S3" i="4" s="1"/>
  <c r="M3" i="5"/>
  <c r="N3" i="5" s="1"/>
  <c r="O3" i="5" s="1"/>
  <c r="P3" i="5" s="1"/>
  <c r="Q3" i="5" s="1"/>
  <c r="R3" i="5" s="1"/>
  <c r="S3" i="5" s="1"/>
  <c r="O121" i="4"/>
  <c r="M121" i="4"/>
  <c r="L80" i="5"/>
  <c r="R80" i="5"/>
  <c r="M80" i="5"/>
  <c r="I5" i="20" l="1"/>
  <c r="N50" i="18"/>
  <c r="O3" i="1"/>
  <c r="O3" i="18"/>
  <c r="O80" i="1"/>
  <c r="O80" i="5" s="1"/>
  <c r="P79" i="5"/>
  <c r="N80" i="1"/>
  <c r="N80" i="5" s="1"/>
  <c r="Q80" i="1"/>
  <c r="Q80" i="5" s="1"/>
  <c r="F118" i="4"/>
  <c r="F121" i="4" s="1"/>
  <c r="F80" i="5"/>
  <c r="K118" i="4"/>
  <c r="K121" i="4" s="1"/>
  <c r="K80" i="5"/>
  <c r="G118" i="4"/>
  <c r="G121" i="4" s="1"/>
  <c r="H118" i="4"/>
  <c r="H121" i="4" s="1"/>
  <c r="E118" i="4"/>
  <c r="E121" i="4" s="1"/>
  <c r="E124" i="4" s="1"/>
  <c r="I118" i="4"/>
  <c r="I121" i="4" s="1"/>
  <c r="J118" i="4"/>
  <c r="J121" i="4" s="1"/>
  <c r="D80" i="1"/>
  <c r="D80" i="5" s="1"/>
  <c r="J5" i="20" l="1"/>
  <c r="O50" i="18"/>
  <c r="P3" i="1"/>
  <c r="P3" i="18"/>
  <c r="F124" i="4"/>
  <c r="G124" i="4" s="1"/>
  <c r="H124" i="4" s="1"/>
  <c r="I124" i="4" s="1"/>
  <c r="J124" i="4" s="1"/>
  <c r="K124" i="4" s="1"/>
  <c r="L124" i="4" s="1"/>
  <c r="M124" i="4" s="1"/>
  <c r="N124" i="4" s="1"/>
  <c r="O124" i="4" s="1"/>
  <c r="P124" i="4" s="1"/>
  <c r="Q124" i="4" s="1"/>
  <c r="R124" i="4" s="1"/>
  <c r="Q3" i="1" l="1"/>
  <c r="Q3" i="18"/>
  <c r="Q50" i="18" s="1"/>
  <c r="K5" i="20"/>
  <c r="P50" i="18"/>
  <c r="J13" i="2"/>
  <c r="E55" i="17" s="1"/>
  <c r="I108" i="1" s="1"/>
  <c r="R3" i="1" l="1"/>
  <c r="S3" i="1" s="1"/>
  <c r="R3" i="18"/>
  <c r="R50" i="18" s="1"/>
  <c r="D55" i="17"/>
  <c r="G55" i="17"/>
  <c r="J44" i="2"/>
  <c r="K44" i="2" s="1"/>
  <c r="S3" i="18" l="1"/>
  <c r="S50" i="18" s="1"/>
  <c r="D108" i="5"/>
  <c r="B22" i="19"/>
  <c r="E108" i="5" l="1"/>
  <c r="F108" i="5" l="1"/>
  <c r="H108" i="1" l="1"/>
  <c r="G108" i="5"/>
  <c r="H108" i="5" l="1"/>
  <c r="J108" i="1" l="1"/>
  <c r="I108" i="5"/>
  <c r="K108" i="1" l="1"/>
  <c r="J108" i="5"/>
  <c r="L108" i="1" l="1"/>
  <c r="K108" i="5"/>
  <c r="L108" i="5" l="1"/>
  <c r="N108" i="1" l="1"/>
  <c r="M108" i="5"/>
  <c r="O108" i="1" l="1"/>
  <c r="N108" i="5"/>
  <c r="P108" i="1" l="1"/>
  <c r="O108" i="5"/>
  <c r="Q108" i="1" l="1"/>
  <c r="P108" i="5"/>
  <c r="R108" i="1" l="1"/>
  <c r="S108" i="1" s="1"/>
  <c r="Q108" i="5"/>
  <c r="S108" i="5" l="1"/>
  <c r="S116" i="1"/>
  <c r="R108" i="5"/>
  <c r="S116" i="5" l="1"/>
  <c r="D8" i="5"/>
  <c r="A7" i="5"/>
  <c r="A7" i="4"/>
  <c r="A11" i="5"/>
  <c r="D35" i="15"/>
  <c r="E27" i="15"/>
  <c r="E28" i="15" s="1"/>
  <c r="D27" i="15"/>
  <c r="D28" i="15" s="1"/>
  <c r="D9" i="1" l="1"/>
  <c r="D9" i="5" s="1"/>
  <c r="E35" i="15"/>
  <c r="E36" i="15" s="1"/>
  <c r="F9" i="1"/>
  <c r="D37" i="15"/>
  <c r="A11" i="4"/>
  <c r="C48" i="15"/>
  <c r="C37" i="15"/>
  <c r="C16" i="17" l="1"/>
  <c r="E37" i="15"/>
  <c r="E38" i="15" s="1"/>
  <c r="E8" i="17"/>
  <c r="G8" i="17" s="1"/>
  <c r="C49" i="15"/>
  <c r="F8" i="5"/>
  <c r="D36" i="15"/>
  <c r="C11" i="17" s="1"/>
  <c r="E8" i="5"/>
  <c r="C36" i="15"/>
  <c r="C10" i="17" s="1"/>
  <c r="E9" i="1"/>
  <c r="E9" i="5" s="1"/>
  <c r="F9" i="5"/>
  <c r="C9" i="17" l="1"/>
  <c r="C5" i="17" s="1"/>
  <c r="D38" i="15"/>
  <c r="G45" i="17" s="1"/>
  <c r="C38" i="15"/>
  <c r="F44" i="17" s="1"/>
  <c r="C19" i="17"/>
  <c r="E19" i="17" s="1"/>
  <c r="G19" i="17" s="1"/>
  <c r="G17" i="17" s="1"/>
  <c r="G14" i="17" s="1"/>
  <c r="E11" i="17"/>
  <c r="G11" i="17" s="1"/>
  <c r="C18" i="17"/>
  <c r="E7" i="17"/>
  <c r="G8" i="5"/>
  <c r="H8" i="1"/>
  <c r="C21" i="17"/>
  <c r="E16" i="17"/>
  <c r="C15" i="17"/>
  <c r="G9" i="5"/>
  <c r="H9" i="1" l="1"/>
  <c r="I8" i="1"/>
  <c r="J8" i="1" s="1"/>
  <c r="F49" i="17"/>
  <c r="G49" i="17"/>
  <c r="G58" i="17"/>
  <c r="G56" i="17" s="1"/>
  <c r="F51" i="17"/>
  <c r="G51" i="17"/>
  <c r="F50" i="17"/>
  <c r="G44" i="17"/>
  <c r="G43" i="17" s="1"/>
  <c r="G52" i="17"/>
  <c r="F45" i="17"/>
  <c r="F43" i="17" s="1"/>
  <c r="H42" i="16" s="1"/>
  <c r="F52" i="17"/>
  <c r="G50" i="17"/>
  <c r="F58" i="17"/>
  <c r="F56" i="17" s="1"/>
  <c r="H45" i="16" s="1"/>
  <c r="G45" i="16" s="1"/>
  <c r="C17" i="17"/>
  <c r="C14" i="17" s="1"/>
  <c r="E18" i="17"/>
  <c r="E10" i="17"/>
  <c r="H8" i="5"/>
  <c r="I84" i="1"/>
  <c r="E15" i="17"/>
  <c r="F16" i="17"/>
  <c r="F15" i="17" s="1"/>
  <c r="E6" i="17"/>
  <c r="F7" i="17"/>
  <c r="F6" i="17" s="1"/>
  <c r="H9" i="5"/>
  <c r="G48" i="17" l="1"/>
  <c r="F48" i="17"/>
  <c r="H43" i="16" s="1"/>
  <c r="G43" i="16" s="1"/>
  <c r="I8" i="5"/>
  <c r="F10" i="17"/>
  <c r="F9" i="17" s="1"/>
  <c r="F5" i="17" s="1"/>
  <c r="H39" i="16" s="1"/>
  <c r="E9" i="17"/>
  <c r="E5" i="17" s="1"/>
  <c r="I82" i="1" s="1"/>
  <c r="I9" i="1"/>
  <c r="I9" i="5" s="1"/>
  <c r="F18" i="17"/>
  <c r="F17" i="17" s="1"/>
  <c r="F14" i="17" s="1"/>
  <c r="H40" i="16" s="1"/>
  <c r="G40" i="16" s="1"/>
  <c r="E17" i="17"/>
  <c r="E14" i="17" s="1"/>
  <c r="I83" i="1" s="1"/>
  <c r="G7" i="17"/>
  <c r="G20" i="17"/>
  <c r="F20" i="17"/>
  <c r="G42" i="16"/>
  <c r="G6" i="17"/>
  <c r="K8" i="1"/>
  <c r="J9" i="1"/>
  <c r="J8" i="5"/>
  <c r="G10" i="17" l="1"/>
  <c r="G9" i="17" s="1"/>
  <c r="E4" i="17"/>
  <c r="D4" i="17" s="1"/>
  <c r="D83" i="5"/>
  <c r="G39" i="16"/>
  <c r="D84" i="5"/>
  <c r="H41" i="16"/>
  <c r="F4" i="17"/>
  <c r="E83" i="5"/>
  <c r="D82" i="5"/>
  <c r="D92" i="1"/>
  <c r="G5" i="17"/>
  <c r="J9" i="5"/>
  <c r="L8" i="1"/>
  <c r="M8" i="1" s="1"/>
  <c r="N8" i="1" s="1"/>
  <c r="O8" i="1" s="1"/>
  <c r="P8" i="1" s="1"/>
  <c r="Q8" i="1" s="1"/>
  <c r="R8" i="1" s="1"/>
  <c r="K8" i="5"/>
  <c r="K9" i="1"/>
  <c r="B14" i="19" l="1"/>
  <c r="G4" i="17"/>
  <c r="E84" i="5"/>
  <c r="E82" i="5"/>
  <c r="E92" i="1"/>
  <c r="F83" i="5"/>
  <c r="D92" i="5"/>
  <c r="G41" i="16"/>
  <c r="L8" i="5"/>
  <c r="L9" i="1"/>
  <c r="K9" i="5"/>
  <c r="H83" i="1" l="1"/>
  <c r="G83" i="5"/>
  <c r="E92" i="5"/>
  <c r="F82" i="5"/>
  <c r="F92" i="1"/>
  <c r="F84" i="5"/>
  <c r="L9" i="5"/>
  <c r="M9" i="1"/>
  <c r="M8" i="5"/>
  <c r="H82" i="1" l="1"/>
  <c r="G82" i="5"/>
  <c r="G92" i="1"/>
  <c r="F92" i="5"/>
  <c r="G84" i="5"/>
  <c r="H84" i="1"/>
  <c r="H83" i="5"/>
  <c r="M9" i="5"/>
  <c r="N9" i="1"/>
  <c r="N8" i="5"/>
  <c r="J83" i="1" l="1"/>
  <c r="I83" i="5"/>
  <c r="H84" i="5"/>
  <c r="G92" i="5"/>
  <c r="H82" i="5"/>
  <c r="H92" i="1"/>
  <c r="O9" i="1"/>
  <c r="O8" i="5"/>
  <c r="N9" i="5"/>
  <c r="J84" i="1" l="1"/>
  <c r="I84" i="5"/>
  <c r="J82" i="1"/>
  <c r="I82" i="5"/>
  <c r="I92" i="1"/>
  <c r="K83" i="1"/>
  <c r="J83" i="5"/>
  <c r="H92" i="5"/>
  <c r="O9" i="5"/>
  <c r="P9" i="1"/>
  <c r="P8" i="5"/>
  <c r="I92" i="5" l="1"/>
  <c r="K82" i="1"/>
  <c r="J82" i="5"/>
  <c r="J92" i="1"/>
  <c r="K83" i="5"/>
  <c r="L83" i="1"/>
  <c r="K84" i="1"/>
  <c r="J84" i="5"/>
  <c r="P9" i="5"/>
  <c r="Q9" i="1"/>
  <c r="Q8" i="5"/>
  <c r="J92" i="5" l="1"/>
  <c r="L83" i="5"/>
  <c r="L82" i="1"/>
  <c r="K82" i="5"/>
  <c r="K92" i="1"/>
  <c r="K84" i="5"/>
  <c r="L84" i="1"/>
  <c r="Q9" i="5"/>
  <c r="R9" i="1"/>
  <c r="R8" i="5"/>
  <c r="K92" i="5" l="1"/>
  <c r="L82" i="5"/>
  <c r="L92" i="1"/>
  <c r="N83" i="1"/>
  <c r="M83" i="5"/>
  <c r="L84" i="5"/>
  <c r="R9" i="5"/>
  <c r="N84" i="1" l="1"/>
  <c r="M84" i="5"/>
  <c r="N83" i="5"/>
  <c r="O83" i="1"/>
  <c r="N82" i="1"/>
  <c r="M82" i="5"/>
  <c r="M92" i="1"/>
  <c r="L92" i="5"/>
  <c r="M92" i="5" l="1"/>
  <c r="O82" i="1"/>
  <c r="N82" i="5"/>
  <c r="N92" i="1"/>
  <c r="O83" i="5"/>
  <c r="P83" i="1"/>
  <c r="O84" i="1"/>
  <c r="N84" i="5"/>
  <c r="P82" i="1" l="1"/>
  <c r="O82" i="5"/>
  <c r="O92" i="1"/>
  <c r="N92" i="5"/>
  <c r="P84" i="1"/>
  <c r="O84" i="5"/>
  <c r="Q83" i="1"/>
  <c r="P83" i="5"/>
  <c r="Q84" i="1" l="1"/>
  <c r="P84" i="5"/>
  <c r="R83" i="1"/>
  <c r="Q83" i="5"/>
  <c r="O92" i="5"/>
  <c r="Q82" i="1"/>
  <c r="P82" i="5"/>
  <c r="P92" i="1"/>
  <c r="R83" i="5" l="1"/>
  <c r="S83" i="1"/>
  <c r="S83" i="5" s="1"/>
  <c r="R82" i="1"/>
  <c r="S82" i="1" s="1"/>
  <c r="Q82" i="5"/>
  <c r="Q92" i="1"/>
  <c r="P92" i="5"/>
  <c r="R84" i="1"/>
  <c r="Q84" i="5"/>
  <c r="R84" i="5" l="1"/>
  <c r="S84" i="1"/>
  <c r="S84" i="5" s="1"/>
  <c r="S82" i="5"/>
  <c r="S92" i="1"/>
  <c r="Q92" i="5"/>
  <c r="R82" i="5"/>
  <c r="R92" i="1"/>
  <c r="S92" i="5" l="1"/>
  <c r="S118" i="5" s="1"/>
  <c r="S118" i="1"/>
  <c r="R92" i="5"/>
  <c r="E54" i="17"/>
  <c r="S121" i="1" l="1"/>
  <c r="R26" i="8"/>
  <c r="R33" i="8" s="1"/>
  <c r="R36" i="8" s="1"/>
  <c r="S120" i="5"/>
  <c r="R46" i="11"/>
  <c r="R50" i="11" s="1"/>
  <c r="R53" i="11" s="1"/>
  <c r="R16" i="11"/>
  <c r="R22" i="11" s="1"/>
  <c r="R25" i="11" s="1"/>
  <c r="S121" i="5"/>
  <c r="I107" i="1"/>
  <c r="F54" i="17"/>
  <c r="F62" i="17" s="1"/>
  <c r="F71" i="17" s="1"/>
  <c r="B21" i="19"/>
  <c r="B25" i="19" s="1"/>
  <c r="B35" i="19" s="1"/>
  <c r="C25" i="19"/>
  <c r="E62" i="17"/>
  <c r="G54" i="17"/>
  <c r="S123" i="5" l="1"/>
  <c r="E21" i="19"/>
  <c r="C35" i="19"/>
  <c r="H44" i="16"/>
  <c r="G44" i="16" s="1"/>
  <c r="G47" i="16" s="1"/>
  <c r="I44" i="1" s="1"/>
  <c r="D12" i="5"/>
  <c r="D107" i="5"/>
  <c r="D116" i="1"/>
  <c r="E22" i="19"/>
  <c r="E25" i="19"/>
  <c r="E14" i="19"/>
  <c r="E15" i="19"/>
  <c r="E20" i="19"/>
  <c r="E17" i="19"/>
  <c r="E19" i="19"/>
  <c r="E16" i="19"/>
  <c r="E23" i="19"/>
  <c r="E18" i="19"/>
  <c r="G62" i="17"/>
  <c r="H28" i="17" s="1"/>
  <c r="D62" i="17"/>
  <c r="E71" i="17"/>
  <c r="D71" i="17" s="1"/>
  <c r="D25" i="19" l="1"/>
  <c r="J44" i="1"/>
  <c r="I44" i="5"/>
  <c r="I45" i="1"/>
  <c r="I45" i="5" s="1"/>
  <c r="B7" i="19"/>
  <c r="B9" i="19" s="1"/>
  <c r="B38" i="19" s="1"/>
  <c r="G49" i="16"/>
  <c r="H47" i="16"/>
  <c r="C9" i="19" s="1"/>
  <c r="C38" i="19" s="1"/>
  <c r="D13" i="1"/>
  <c r="D53" i="1" s="1"/>
  <c r="D19" i="19"/>
  <c r="D29" i="19"/>
  <c r="D16" i="19"/>
  <c r="D32" i="19"/>
  <c r="D33" i="19"/>
  <c r="D31" i="19"/>
  <c r="D17" i="19"/>
  <c r="D30" i="19"/>
  <c r="D35" i="19"/>
  <c r="D22" i="19"/>
  <c r="D14" i="19"/>
  <c r="D18" i="19"/>
  <c r="G35" i="19"/>
  <c r="D15" i="19"/>
  <c r="D20" i="19"/>
  <c r="D23" i="19"/>
  <c r="D21" i="19"/>
  <c r="D116" i="5"/>
  <c r="D118" i="5" s="1"/>
  <c r="D118" i="1"/>
  <c r="C26" i="8" s="1"/>
  <c r="C33" i="8" s="1"/>
  <c r="E107" i="5"/>
  <c r="E116" i="1"/>
  <c r="H23" i="17"/>
  <c r="H56" i="17"/>
  <c r="H8" i="17"/>
  <c r="H36" i="17"/>
  <c r="H48" i="17"/>
  <c r="H55" i="17"/>
  <c r="H31" i="17"/>
  <c r="H15" i="17"/>
  <c r="H49" i="17"/>
  <c r="H25" i="17"/>
  <c r="H57" i="17"/>
  <c r="H16" i="17"/>
  <c r="H29" i="17"/>
  <c r="H37" i="17"/>
  <c r="H20" i="17"/>
  <c r="H10" i="17"/>
  <c r="H39" i="17"/>
  <c r="H52" i="17"/>
  <c r="H21" i="17"/>
  <c r="H59" i="17"/>
  <c r="H6" i="17"/>
  <c r="H27" i="17"/>
  <c r="H45" i="17"/>
  <c r="H26" i="17"/>
  <c r="H35" i="17"/>
  <c r="H32" i="17"/>
  <c r="H33" i="17"/>
  <c r="H50" i="17"/>
  <c r="H18" i="17"/>
  <c r="H51" i="17"/>
  <c r="H4" i="17"/>
  <c r="H5" i="17"/>
  <c r="H58" i="17"/>
  <c r="H11" i="17"/>
  <c r="H24" i="17"/>
  <c r="H7" i="17"/>
  <c r="H38" i="17"/>
  <c r="H9" i="17"/>
  <c r="H34" i="17"/>
  <c r="H30" i="17"/>
  <c r="H22" i="17"/>
  <c r="H19" i="17"/>
  <c r="H14" i="17"/>
  <c r="H44" i="17"/>
  <c r="G71" i="17"/>
  <c r="H60" i="17" s="1"/>
  <c r="H17" i="17"/>
  <c r="H54" i="17"/>
  <c r="K44" i="1" l="1"/>
  <c r="J44" i="5"/>
  <c r="J45" i="1"/>
  <c r="J45" i="5" s="1"/>
  <c r="I44" i="16"/>
  <c r="B27" i="19"/>
  <c r="I41" i="16"/>
  <c r="I39" i="16"/>
  <c r="H49" i="16"/>
  <c r="I45" i="16"/>
  <c r="I43" i="16"/>
  <c r="I40" i="16"/>
  <c r="I42" i="16"/>
  <c r="E13" i="1"/>
  <c r="E53" i="1" s="1"/>
  <c r="D13" i="5"/>
  <c r="D53" i="5" s="1"/>
  <c r="C7" i="11" s="1"/>
  <c r="C11" i="11" s="1"/>
  <c r="E12" i="5"/>
  <c r="C27" i="19"/>
  <c r="G38" i="19"/>
  <c r="G9" i="19"/>
  <c r="D6" i="19"/>
  <c r="D7" i="19"/>
  <c r="F107" i="5"/>
  <c r="F116" i="1"/>
  <c r="E118" i="1"/>
  <c r="D26" i="8" s="1"/>
  <c r="D33" i="8" s="1"/>
  <c r="E116" i="5"/>
  <c r="E118" i="5" s="1"/>
  <c r="F13" i="1"/>
  <c r="F12" i="5"/>
  <c r="D120" i="5"/>
  <c r="C16" i="11"/>
  <c r="C22" i="11" s="1"/>
  <c r="C46" i="11"/>
  <c r="C50" i="11" s="1"/>
  <c r="C13" i="8"/>
  <c r="C20" i="8" s="1"/>
  <c r="C36" i="8" s="1"/>
  <c r="C38" i="8" s="1"/>
  <c r="D121" i="1"/>
  <c r="D124" i="1" s="1"/>
  <c r="L44" i="1" l="1"/>
  <c r="K44" i="5"/>
  <c r="K45" i="1"/>
  <c r="K45" i="5" s="1"/>
  <c r="I47" i="16"/>
  <c r="E13" i="5"/>
  <c r="E53" i="5" s="1"/>
  <c r="E121" i="5" s="1"/>
  <c r="D55" i="5"/>
  <c r="D121" i="5"/>
  <c r="D125" i="5" s="1"/>
  <c r="C39" i="11"/>
  <c r="C41" i="11" s="1"/>
  <c r="C53" i="11" s="1"/>
  <c r="G27" i="19"/>
  <c r="G12" i="5"/>
  <c r="H12" i="1"/>
  <c r="I12" i="1" s="1"/>
  <c r="J12" i="1" s="1"/>
  <c r="K12" i="1" s="1"/>
  <c r="L12" i="1" s="1"/>
  <c r="M12" i="1" s="1"/>
  <c r="N12" i="1" s="1"/>
  <c r="O12" i="1" s="1"/>
  <c r="P12" i="1" s="1"/>
  <c r="Q12" i="1" s="1"/>
  <c r="R12" i="1" s="1"/>
  <c r="G13" i="1"/>
  <c r="F116" i="5"/>
  <c r="F118" i="5" s="1"/>
  <c r="F118" i="1"/>
  <c r="E26" i="8" s="1"/>
  <c r="E33" i="8" s="1"/>
  <c r="G107" i="5"/>
  <c r="G116" i="1"/>
  <c r="H107" i="1"/>
  <c r="H116" i="1" s="1"/>
  <c r="H118" i="1" s="1"/>
  <c r="D46" i="11"/>
  <c r="D50" i="11" s="1"/>
  <c r="E120" i="5"/>
  <c r="D16" i="11"/>
  <c r="D22" i="11" s="1"/>
  <c r="E121" i="1"/>
  <c r="E124" i="1" s="1"/>
  <c r="D13" i="8"/>
  <c r="D20" i="8" s="1"/>
  <c r="D36" i="8" s="1"/>
  <c r="D38" i="8" s="1"/>
  <c r="F53" i="1"/>
  <c r="F13" i="5"/>
  <c r="F53" i="5" s="1"/>
  <c r="C25" i="11"/>
  <c r="L44" i="5" l="1"/>
  <c r="L45" i="1"/>
  <c r="L45" i="5" s="1"/>
  <c r="D39" i="11"/>
  <c r="D41" i="11" s="1"/>
  <c r="D53" i="11" s="1"/>
  <c r="D7" i="11"/>
  <c r="D11" i="11" s="1"/>
  <c r="D25" i="11" s="1"/>
  <c r="E55" i="5"/>
  <c r="D123" i="5"/>
  <c r="E123" i="5"/>
  <c r="H107" i="5"/>
  <c r="G116" i="5"/>
  <c r="G118" i="5" s="1"/>
  <c r="G118" i="1"/>
  <c r="H13" i="1"/>
  <c r="H12" i="5"/>
  <c r="E46" i="11"/>
  <c r="E50" i="11" s="1"/>
  <c r="E16" i="11"/>
  <c r="E22" i="11" s="1"/>
  <c r="F120" i="5"/>
  <c r="G53" i="1"/>
  <c r="D36" i="21" s="1"/>
  <c r="K37" i="21" s="1"/>
  <c r="G13" i="5"/>
  <c r="G53" i="5" s="1"/>
  <c r="F121" i="5"/>
  <c r="F55" i="5"/>
  <c r="E39" i="11"/>
  <c r="E41" i="11" s="1"/>
  <c r="E7" i="11"/>
  <c r="E11" i="11" s="1"/>
  <c r="F121" i="1"/>
  <c r="F124" i="1" s="1"/>
  <c r="E13" i="8"/>
  <c r="E20" i="8" s="1"/>
  <c r="E36" i="8" s="1"/>
  <c r="E38" i="8" s="1"/>
  <c r="E125" i="5"/>
  <c r="F26" i="8" l="1"/>
  <c r="F33" i="8" s="1"/>
  <c r="D37" i="21"/>
  <c r="D38" i="21" s="1"/>
  <c r="D39" i="21" s="1"/>
  <c r="F123" i="5"/>
  <c r="E53" i="11"/>
  <c r="E25" i="11"/>
  <c r="H13" i="5"/>
  <c r="H53" i="5" s="1"/>
  <c r="H53" i="1"/>
  <c r="F125" i="5"/>
  <c r="I116" i="1"/>
  <c r="I107" i="5"/>
  <c r="J107" i="1"/>
  <c r="H116" i="5"/>
  <c r="H118" i="5" s="1"/>
  <c r="G26" i="8"/>
  <c r="G33" i="8" s="1"/>
  <c r="F13" i="8"/>
  <c r="F20" i="8" s="1"/>
  <c r="G121" i="1"/>
  <c r="G124" i="1" s="1"/>
  <c r="G120" i="5"/>
  <c r="F16" i="11"/>
  <c r="F22" i="11" s="1"/>
  <c r="F46" i="11"/>
  <c r="F50" i="11" s="1"/>
  <c r="G121" i="5"/>
  <c r="F39" i="11"/>
  <c r="F41" i="11" s="1"/>
  <c r="G55" i="5"/>
  <c r="F7" i="11"/>
  <c r="F11" i="11" s="1"/>
  <c r="I12" i="5"/>
  <c r="I13" i="1"/>
  <c r="F36" i="8" l="1"/>
  <c r="F38" i="8" s="1"/>
  <c r="F25" i="11"/>
  <c r="G125" i="5"/>
  <c r="F53" i="11"/>
  <c r="H121" i="1"/>
  <c r="H124" i="1" s="1"/>
  <c r="G13" i="8"/>
  <c r="G20" i="8" s="1"/>
  <c r="G36" i="8" s="1"/>
  <c r="I53" i="1"/>
  <c r="I13" i="5"/>
  <c r="I53" i="5" s="1"/>
  <c r="H121" i="5"/>
  <c r="G39" i="11"/>
  <c r="G41" i="11" s="1"/>
  <c r="G7" i="11"/>
  <c r="G11" i="11" s="1"/>
  <c r="H55" i="5"/>
  <c r="G46" i="11"/>
  <c r="G50" i="11" s="1"/>
  <c r="H120" i="5"/>
  <c r="G16" i="11"/>
  <c r="G22" i="11" s="1"/>
  <c r="G123" i="5"/>
  <c r="K107" i="1"/>
  <c r="J107" i="5"/>
  <c r="J116" i="1"/>
  <c r="J12" i="5"/>
  <c r="J13" i="1"/>
  <c r="I118" i="1"/>
  <c r="H26" i="8" s="1"/>
  <c r="H33" i="8" s="1"/>
  <c r="I116" i="5"/>
  <c r="I118" i="5" s="1"/>
  <c r="G38" i="8" l="1"/>
  <c r="H125" i="5"/>
  <c r="H123" i="5"/>
  <c r="J53" i="1"/>
  <c r="J13" i="5"/>
  <c r="J53" i="5" s="1"/>
  <c r="K13" i="1"/>
  <c r="K12" i="5"/>
  <c r="G53" i="11"/>
  <c r="J116" i="5"/>
  <c r="J118" i="5" s="1"/>
  <c r="J118" i="1"/>
  <c r="I26" i="8" s="1"/>
  <c r="I33" i="8" s="1"/>
  <c r="H7" i="11"/>
  <c r="H11" i="11" s="1"/>
  <c r="I55" i="5"/>
  <c r="H39" i="11"/>
  <c r="H41" i="11" s="1"/>
  <c r="I121" i="5"/>
  <c r="I121" i="1"/>
  <c r="I124" i="1" s="1"/>
  <c r="H13" i="8"/>
  <c r="H20" i="8" s="1"/>
  <c r="H36" i="8" s="1"/>
  <c r="I120" i="5"/>
  <c r="H16" i="11"/>
  <c r="H22" i="11" s="1"/>
  <c r="H46" i="11"/>
  <c r="H50" i="11" s="1"/>
  <c r="L107" i="1"/>
  <c r="K107" i="5"/>
  <c r="K116" i="1"/>
  <c r="G25" i="11"/>
  <c r="H38" i="8" l="1"/>
  <c r="I125" i="5"/>
  <c r="H53" i="11"/>
  <c r="H25" i="11"/>
  <c r="L12" i="5"/>
  <c r="L13" i="1"/>
  <c r="I46" i="11"/>
  <c r="I50" i="11" s="1"/>
  <c r="I16" i="11"/>
  <c r="I22" i="11" s="1"/>
  <c r="J120" i="5"/>
  <c r="K118" i="1"/>
  <c r="K116" i="5"/>
  <c r="K118" i="5" s="1"/>
  <c r="L107" i="5"/>
  <c r="L116" i="1"/>
  <c r="I13" i="8"/>
  <c r="I20" i="8" s="1"/>
  <c r="I36" i="8" s="1"/>
  <c r="J121" i="1"/>
  <c r="J124" i="1" s="1"/>
  <c r="I123" i="5"/>
  <c r="K13" i="5"/>
  <c r="K53" i="5" s="1"/>
  <c r="K53" i="1"/>
  <c r="F36" i="21" s="1"/>
  <c r="L37" i="21" s="1"/>
  <c r="I7" i="11"/>
  <c r="I11" i="11" s="1"/>
  <c r="I39" i="11"/>
  <c r="I41" i="11" s="1"/>
  <c r="J121" i="5"/>
  <c r="J55" i="5"/>
  <c r="I38" i="8" l="1"/>
  <c r="J26" i="8"/>
  <c r="J33" i="8" s="1"/>
  <c r="F37" i="21"/>
  <c r="F38" i="21" s="1"/>
  <c r="F39" i="21" s="1"/>
  <c r="I25" i="11"/>
  <c r="J123" i="5"/>
  <c r="J125" i="5"/>
  <c r="K121" i="1"/>
  <c r="K124" i="1" s="1"/>
  <c r="J13" i="8"/>
  <c r="J20" i="8" s="1"/>
  <c r="M12" i="5"/>
  <c r="M13" i="1"/>
  <c r="L53" i="1"/>
  <c r="L13" i="5"/>
  <c r="L53" i="5" s="1"/>
  <c r="M107" i="5"/>
  <c r="N107" i="1"/>
  <c r="M116" i="1"/>
  <c r="J16" i="11"/>
  <c r="J22" i="11" s="1"/>
  <c r="J46" i="11"/>
  <c r="J50" i="11" s="1"/>
  <c r="K120" i="5"/>
  <c r="L116" i="5"/>
  <c r="L118" i="5" s="1"/>
  <c r="L118" i="1"/>
  <c r="K26" i="8" s="1"/>
  <c r="K33" i="8" s="1"/>
  <c r="J7" i="11"/>
  <c r="J11" i="11" s="1"/>
  <c r="J39" i="11"/>
  <c r="J41" i="11" s="1"/>
  <c r="K55" i="5"/>
  <c r="K121" i="5"/>
  <c r="I53" i="11"/>
  <c r="J36" i="8" l="1"/>
  <c r="J38" i="8" s="1"/>
  <c r="K125" i="5"/>
  <c r="M13" i="5"/>
  <c r="M53" i="5" s="1"/>
  <c r="M53" i="1"/>
  <c r="K123" i="5"/>
  <c r="J53" i="11"/>
  <c r="N107" i="5"/>
  <c r="N116" i="1"/>
  <c r="O107" i="1"/>
  <c r="N12" i="5"/>
  <c r="N13" i="1"/>
  <c r="J25" i="11"/>
  <c r="M118" i="1"/>
  <c r="L26" i="8" s="1"/>
  <c r="L33" i="8" s="1"/>
  <c r="M116" i="5"/>
  <c r="M118" i="5" s="1"/>
  <c r="K7" i="11"/>
  <c r="K11" i="11" s="1"/>
  <c r="K39" i="11"/>
  <c r="K41" i="11" s="1"/>
  <c r="L55" i="5"/>
  <c r="L121" i="5"/>
  <c r="K16" i="11"/>
  <c r="K22" i="11" s="1"/>
  <c r="K46" i="11"/>
  <c r="K50" i="11" s="1"/>
  <c r="L120" i="5"/>
  <c r="L121" i="1"/>
  <c r="L124" i="1" s="1"/>
  <c r="K13" i="8"/>
  <c r="K20" i="8" s="1"/>
  <c r="K36" i="8" s="1"/>
  <c r="K38" i="8" l="1"/>
  <c r="L123" i="5"/>
  <c r="N13" i="5"/>
  <c r="N53" i="5" s="1"/>
  <c r="N53" i="1"/>
  <c r="O116" i="1"/>
  <c r="O107" i="5"/>
  <c r="P107" i="1"/>
  <c r="O12" i="5"/>
  <c r="O13" i="1"/>
  <c r="L125" i="5"/>
  <c r="K25" i="11"/>
  <c r="L13" i="8"/>
  <c r="L20" i="8" s="1"/>
  <c r="L36" i="8" s="1"/>
  <c r="M121" i="1"/>
  <c r="M124" i="1" s="1"/>
  <c r="K53" i="11"/>
  <c r="L39" i="11"/>
  <c r="L41" i="11" s="1"/>
  <c r="L7" i="11"/>
  <c r="L11" i="11" s="1"/>
  <c r="M55" i="5"/>
  <c r="M121" i="5"/>
  <c r="N118" i="1"/>
  <c r="M26" i="8" s="1"/>
  <c r="M33" i="8" s="1"/>
  <c r="N116" i="5"/>
  <c r="N118" i="5" s="1"/>
  <c r="L16" i="11"/>
  <c r="L22" i="11" s="1"/>
  <c r="L46" i="11"/>
  <c r="L50" i="11" s="1"/>
  <c r="M120" i="5"/>
  <c r="L38" i="8" l="1"/>
  <c r="L53" i="11"/>
  <c r="Q107" i="1"/>
  <c r="P116" i="1"/>
  <c r="P107" i="5"/>
  <c r="O118" i="1"/>
  <c r="O116" i="5"/>
  <c r="O118" i="5" s="1"/>
  <c r="N121" i="1"/>
  <c r="N124" i="1" s="1"/>
  <c r="M13" i="8"/>
  <c r="M20" i="8" s="1"/>
  <c r="M36" i="8" s="1"/>
  <c r="O13" i="5"/>
  <c r="O53" i="5" s="1"/>
  <c r="O53" i="1"/>
  <c r="H36" i="21" s="1"/>
  <c r="M37" i="21" s="1"/>
  <c r="N120" i="5"/>
  <c r="M16" i="11"/>
  <c r="M22" i="11" s="1"/>
  <c r="M46" i="11"/>
  <c r="M50" i="11" s="1"/>
  <c r="M123" i="5"/>
  <c r="M125" i="5"/>
  <c r="N121" i="5"/>
  <c r="N55" i="5"/>
  <c r="M39" i="11"/>
  <c r="M41" i="11" s="1"/>
  <c r="M7" i="11"/>
  <c r="M11" i="11" s="1"/>
  <c r="L25" i="11"/>
  <c r="P13" i="1"/>
  <c r="P12" i="5"/>
  <c r="M38" i="8" l="1"/>
  <c r="N26" i="8"/>
  <c r="N33" i="8" s="1"/>
  <c r="H37" i="21"/>
  <c r="H38" i="21" s="1"/>
  <c r="H39" i="21" s="1"/>
  <c r="N125" i="5"/>
  <c r="M25" i="11"/>
  <c r="N16" i="11"/>
  <c r="N22" i="11" s="1"/>
  <c r="N46" i="11"/>
  <c r="N50" i="11" s="1"/>
  <c r="O120" i="5"/>
  <c r="P118" i="1"/>
  <c r="O26" i="8" s="1"/>
  <c r="O33" i="8" s="1"/>
  <c r="P116" i="5"/>
  <c r="P118" i="5" s="1"/>
  <c r="Q12" i="5"/>
  <c r="Q13" i="1"/>
  <c r="P13" i="5"/>
  <c r="P53" i="5" s="1"/>
  <c r="P53" i="1"/>
  <c r="M53" i="11"/>
  <c r="O121" i="1"/>
  <c r="O124" i="1" s="1"/>
  <c r="N13" i="8"/>
  <c r="N20" i="8" s="1"/>
  <c r="Q116" i="1"/>
  <c r="Q107" i="5"/>
  <c r="R107" i="1"/>
  <c r="N39" i="11"/>
  <c r="N41" i="11" s="1"/>
  <c r="O121" i="5"/>
  <c r="O55" i="5"/>
  <c r="N7" i="11"/>
  <c r="N11" i="11" s="1"/>
  <c r="N123" i="5"/>
  <c r="N36" i="8" l="1"/>
  <c r="N38" i="8" s="1"/>
  <c r="N25" i="11"/>
  <c r="O125" i="5"/>
  <c r="N53" i="11"/>
  <c r="Q118" i="1"/>
  <c r="P26" i="8" s="1"/>
  <c r="P33" i="8" s="1"/>
  <c r="Q116" i="5"/>
  <c r="Q118" i="5" s="1"/>
  <c r="O39" i="11"/>
  <c r="O41" i="11" s="1"/>
  <c r="O7" i="11"/>
  <c r="O11" i="11" s="1"/>
  <c r="P55" i="5"/>
  <c r="P121" i="5"/>
  <c r="O46" i="11"/>
  <c r="O50" i="11" s="1"/>
  <c r="P120" i="5"/>
  <c r="O16" i="11"/>
  <c r="O22" i="11" s="1"/>
  <c r="O123" i="5"/>
  <c r="P121" i="1"/>
  <c r="P124" i="1" s="1"/>
  <c r="O13" i="8"/>
  <c r="O20" i="8" s="1"/>
  <c r="O36" i="8" s="1"/>
  <c r="R107" i="5"/>
  <c r="R116" i="1"/>
  <c r="Q53" i="1"/>
  <c r="Q13" i="5"/>
  <c r="Q53" i="5" s="1"/>
  <c r="R13" i="1"/>
  <c r="R12" i="5"/>
  <c r="O38" i="8" l="1"/>
  <c r="P123" i="5"/>
  <c r="O25" i="11"/>
  <c r="O53" i="11"/>
  <c r="R53" i="1"/>
  <c r="R13" i="5"/>
  <c r="R53" i="5" s="1"/>
  <c r="D11" i="7" s="1"/>
  <c r="Q121" i="5"/>
  <c r="P7" i="11"/>
  <c r="P11" i="11" s="1"/>
  <c r="P39" i="11"/>
  <c r="P41" i="11" s="1"/>
  <c r="Q55" i="5"/>
  <c r="P46" i="11"/>
  <c r="P50" i="11" s="1"/>
  <c r="Q120" i="5"/>
  <c r="P16" i="11"/>
  <c r="P22" i="11" s="1"/>
  <c r="P13" i="8"/>
  <c r="P20" i="8" s="1"/>
  <c r="P36" i="8" s="1"/>
  <c r="Q121" i="1"/>
  <c r="Q124" i="1" s="1"/>
  <c r="R116" i="5"/>
  <c r="R118" i="5" s="1"/>
  <c r="D12" i="7" s="1"/>
  <c r="R118" i="1"/>
  <c r="Q26" i="8" s="1"/>
  <c r="Q33" i="8" s="1"/>
  <c r="P125" i="5"/>
  <c r="P38" i="8" l="1"/>
  <c r="Q125" i="5"/>
  <c r="P25" i="11"/>
  <c r="P53" i="11"/>
  <c r="Q123" i="5"/>
  <c r="Q16" i="11"/>
  <c r="Q22" i="11" s="1"/>
  <c r="Q46" i="11"/>
  <c r="R120" i="5"/>
  <c r="Q7" i="11"/>
  <c r="R121" i="5"/>
  <c r="Q39" i="11"/>
  <c r="Q41" i="11" s="1"/>
  <c r="R55" i="5"/>
  <c r="Q13" i="8"/>
  <c r="Q20" i="8" s="1"/>
  <c r="Q36" i="8" s="1"/>
  <c r="R121" i="1"/>
  <c r="R124" i="1" s="1"/>
  <c r="S124" i="1" s="1"/>
  <c r="Q38" i="8" l="1"/>
  <c r="R38" i="8" s="1"/>
  <c r="R125" i="5"/>
  <c r="S125" i="5" s="1"/>
  <c r="C8" i="13"/>
  <c r="C9" i="13" s="1"/>
  <c r="G10" i="7" s="1"/>
  <c r="R123" i="5"/>
  <c r="Q11" i="13"/>
  <c r="R12" i="13" s="1"/>
  <c r="F13" i="7"/>
  <c r="S12" i="13" l="1"/>
  <c r="T12" i="13" s="1"/>
  <c r="U12" i="13" s="1"/>
  <c r="V12" i="13" s="1"/>
  <c r="W12" i="13" s="1"/>
  <c r="X12" i="13" s="1"/>
  <c r="Y12" i="13" s="1"/>
  <c r="Z12" i="13" s="1"/>
  <c r="AA12" i="13" s="1"/>
  <c r="AB12" i="13" s="1"/>
  <c r="AC12" i="13" s="1"/>
  <c r="Q13" i="13" l="1"/>
  <c r="Q14" i="13" s="1"/>
  <c r="C10" i="7" s="1"/>
  <c r="Q8" i="11" l="1"/>
  <c r="Q48" i="11" s="1"/>
  <c r="Q50" i="11" s="1"/>
  <c r="Q53" i="11" s="1"/>
  <c r="C17" i="13"/>
  <c r="D10" i="7" s="1"/>
  <c r="F12" i="7" s="1"/>
  <c r="C57" i="11" l="1"/>
  <c r="C58" i="11"/>
  <c r="Q11" i="11"/>
  <c r="Q25" i="11" s="1"/>
  <c r="D13" i="7"/>
  <c r="D14" i="7" s="1"/>
  <c r="D15" i="7" s="1"/>
  <c r="C17" i="7" s="1"/>
  <c r="C19" i="7" s="1"/>
  <c r="C30" i="11" l="1"/>
  <c r="C29" i="11"/>
  <c r="G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rgb="FF000000"/>
            <rFont val="Tahoma"/>
            <family val="2"/>
            <charset val="186"/>
          </rPr>
          <t>Aasta, millal tekkisid/tekivad esimesed projektikulud</t>
        </r>
      </text>
    </comment>
    <comment ref="B13" authorId="0" shapeId="0" xr:uid="{00000000-0006-0000-0100-000002000000}">
      <text>
        <r>
          <rPr>
            <sz val="9"/>
            <color rgb="FF000000"/>
            <rFont val="Tahoma"/>
            <family val="2"/>
            <charset val="186"/>
          </rPr>
          <t xml:space="preserve">Taotleja peab vastavalt oma objekti spetsiifikale tegema valiku arvestusperioodi pikkuse osas ja seda põhjendama.
</t>
        </r>
        <r>
          <rPr>
            <sz val="9"/>
            <color rgb="FF000000"/>
            <rFont val="Tahoma"/>
            <family val="2"/>
            <charset val="186"/>
          </rPr>
          <t xml:space="preserve">
</t>
        </r>
        <r>
          <rPr>
            <sz val="9"/>
            <color rgb="FF000000"/>
            <rFont val="Tahoma"/>
            <family val="2"/>
            <charset val="186"/>
          </rPr>
          <t>RM juhendis nõutud arvestusperioodide pikkused on toodud töölehel "Arvestusperioodid"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B24" authorId="0" shapeId="0" xr:uid="{5F4E421B-02A6-4331-8FAA-E11555C8ADF8}">
      <text>
        <r>
          <rPr>
            <sz val="9"/>
            <color indexed="81"/>
            <rFont val="Tahoma"/>
            <family val="2"/>
            <charset val="204"/>
          </rPr>
          <t>Alates 2025</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Kersti Raja</author>
    <author>Bedjuhhov Mihhail</author>
  </authors>
  <commentList>
    <comment ref="A12" authorId="0" shapeId="0" xr:uid="{00000000-0006-0000-0B00-000001000000}">
      <text>
        <r>
          <rPr>
            <b/>
            <sz val="8"/>
            <color indexed="81"/>
            <rFont val="Segoe UI"/>
            <family val="2"/>
          </rPr>
          <t>Kersti Raja:</t>
        </r>
        <r>
          <rPr>
            <sz val="8"/>
            <color indexed="81"/>
            <rFont val="Segoe UI"/>
            <family val="2"/>
          </rPr>
          <t xml:space="preserve">
Kui tavaliselt jääb iduettevõtetest ellu pisut alla 10%, siis Inkubaatori kasvuprogrammi läbinutest on elujõulised üle 60%</t>
        </r>
      </text>
    </comment>
    <comment ref="A18" authorId="0" shapeId="0" xr:uid="{00000000-0006-0000-0B00-000002000000}">
      <text>
        <r>
          <rPr>
            <b/>
            <sz val="9"/>
            <color indexed="81"/>
            <rFont val="Segoe UI"/>
            <family val="2"/>
            <charset val="204"/>
          </rPr>
          <t>Kersti Raja:</t>
        </r>
        <r>
          <rPr>
            <sz val="9"/>
            <color indexed="81"/>
            <rFont val="Segoe UI"/>
            <family val="2"/>
            <charset val="204"/>
          </rPr>
          <t xml:space="preserve">
startup ettevõtetes luuakse töökohti keskmiselt 2,3 korda rohkem</t>
        </r>
      </text>
    </comment>
    <comment ref="A20" authorId="0" shapeId="0" xr:uid="{00000000-0006-0000-0B00-000003000000}">
      <text>
        <r>
          <rPr>
            <b/>
            <sz val="9"/>
            <color indexed="81"/>
            <rFont val="Segoe UI"/>
            <family val="2"/>
            <charset val="204"/>
          </rPr>
          <t>Kersti Raja:</t>
        </r>
        <r>
          <rPr>
            <sz val="9"/>
            <color indexed="81"/>
            <rFont val="Segoe UI"/>
            <family val="2"/>
            <charset val="204"/>
          </rPr>
          <t xml:space="preserve">
Ida-Virumaa keskmine brutopalk 2022.a III kv oli 1383 eurot kuus</t>
        </r>
      </text>
    </comment>
    <comment ref="A21" authorId="0" shapeId="0" xr:uid="{00000000-0006-0000-0B00-000004000000}">
      <text>
        <r>
          <rPr>
            <b/>
            <sz val="9"/>
            <color indexed="81"/>
            <rFont val="Segoe UI"/>
            <family val="2"/>
            <charset val="204"/>
          </rPr>
          <t>Kersti Raja:</t>
        </r>
        <r>
          <rPr>
            <sz val="9"/>
            <color indexed="81"/>
            <rFont val="Segoe UI"/>
            <family val="2"/>
            <charset val="204"/>
          </rPr>
          <t xml:space="preserve">
startup ettevõtete kesmine palk on 1.8 korda kõrgem</t>
        </r>
      </text>
    </comment>
    <comment ref="A29" authorId="0" shapeId="0" xr:uid="{00000000-0006-0000-0B00-000005000000}">
      <text>
        <r>
          <rPr>
            <b/>
            <sz val="9"/>
            <color indexed="81"/>
            <rFont val="Segoe UI"/>
            <family val="2"/>
            <charset val="204"/>
          </rPr>
          <t>Kersti Raja:</t>
        </r>
        <r>
          <rPr>
            <sz val="9"/>
            <color indexed="81"/>
            <rFont val="Segoe UI"/>
            <family val="2"/>
            <charset val="204"/>
          </rPr>
          <t xml:space="preserve">
(Tööjõukulud + Põhivarade kulum ja väärtuse langus + Ärikasum) / Müügitulu</t>
        </r>
      </text>
    </comment>
    <comment ref="A30" authorId="1" shapeId="0" xr:uid="{00000000-0006-0000-0B00-000006000000}">
      <text>
        <r>
          <rPr>
            <b/>
            <sz val="9"/>
            <color indexed="81"/>
            <rFont val="Tahoma"/>
            <family val="2"/>
            <charset val="204"/>
          </rPr>
          <t>Bedjuhhov Mihhail:</t>
        </r>
        <r>
          <rPr>
            <sz val="9"/>
            <color indexed="81"/>
            <rFont val="Tahoma"/>
            <family val="2"/>
            <charset val="204"/>
          </rPr>
          <t xml:space="preserve">
591 Kinofilmide, videote ja telesaadetega seotud tegevusalad</t>
        </r>
      </text>
    </comment>
    <comment ref="B30" authorId="1" shapeId="0" xr:uid="{00000000-0006-0000-0B00-000007000000}">
      <text>
        <r>
          <rPr>
            <b/>
            <sz val="9"/>
            <color indexed="81"/>
            <rFont val="Tahoma"/>
            <family val="2"/>
            <charset val="204"/>
          </rPr>
          <t>Bedjuhhov Mihhail:</t>
        </r>
        <r>
          <rPr>
            <sz val="9"/>
            <color indexed="81"/>
            <rFont val="Tahoma"/>
            <family val="2"/>
            <charset val="204"/>
          </rPr>
          <t xml:space="preserve">
stat.ee
2021</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Bedjuhhov Mihhail</author>
    <author>Kersti Raja</author>
  </authors>
  <commentList>
    <comment ref="C4" authorId="0" shapeId="0" xr:uid="{F740572A-061E-4C6F-8698-0886E9A3275E}">
      <text>
        <r>
          <rPr>
            <sz val="9"/>
            <color rgb="FF000000"/>
            <rFont val="Tahoma"/>
            <family val="2"/>
            <charset val="204"/>
          </rPr>
          <t>https://gren.com/ee/hinnakiri/
Alates 01.03.2025</t>
        </r>
      </text>
    </comment>
    <comment ref="C5" authorId="0" shapeId="0" xr:uid="{DD354683-738C-4293-8D0C-46D672ADA18E}">
      <text>
        <r>
          <rPr>
            <sz val="9"/>
            <color rgb="FF000000"/>
            <rFont val="Tahoma"/>
            <family val="2"/>
            <charset val="204"/>
          </rPr>
          <t>Jaanuar 2025 keskmine elektri börsihind + võrguteenus 0.10 EUR/kWh</t>
        </r>
      </text>
    </comment>
    <comment ref="C6" authorId="0" shapeId="0" xr:uid="{00000000-0006-0000-1000-000002000000}">
      <text>
        <r>
          <rPr>
            <sz val="9"/>
            <color rgb="FF000000"/>
            <rFont val="Tahoma"/>
            <family val="2"/>
            <charset val="204"/>
          </rPr>
          <t>OÜ Järve Biopuhastus veetariifid alates 01.06.2024.a</t>
        </r>
      </text>
    </comment>
    <comment ref="C7" authorId="1" shapeId="0" xr:uid="{AE6B5933-3780-45E0-BF64-1DC12456F398}">
      <text>
        <r>
          <rPr>
            <sz val="9"/>
            <color indexed="81"/>
            <rFont val="Segoe UI"/>
            <charset val="1"/>
          </rPr>
          <t>1m3 külma vee ülessoojendamiseks 5°C→55°C kuluv soojusenergia on keskmiselt 0,05833 MWh</t>
        </r>
      </text>
    </comment>
    <comment ref="C8" authorId="0" shapeId="0" xr:uid="{00000000-0006-0000-1000-000003000000}">
      <text>
        <r>
          <rPr>
            <sz val="9"/>
            <color rgb="FF000000"/>
            <rFont val="Tahoma"/>
            <family val="2"/>
            <charset val="204"/>
          </rPr>
          <t>OÜ Järve Biopuhastus veetariifid alates 01.06.2024.a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100-000001000000}">
      <text>
        <r>
          <rPr>
            <sz val="9"/>
            <color indexed="81"/>
            <rFont val="Tahoma"/>
            <family val="2"/>
            <charset val="204"/>
          </rPr>
          <t xml:space="preserve">Только Inkubaator.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2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2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2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200-000004000000}">
      <text>
        <r>
          <rPr>
            <b/>
            <sz val="9"/>
            <color indexed="81"/>
            <rFont val="Segoe UI"/>
            <family val="2"/>
          </rPr>
          <t>Kersti Raja:</t>
        </r>
        <r>
          <rPr>
            <sz val="9"/>
            <color indexed="81"/>
            <rFont val="Segoe UI"/>
            <family val="2"/>
          </rPr>
          <t xml:space="preserve">
sisaldab kommunaalkulusid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Bedjuhhov Mihhail</author>
    <author>Kersti Raja</author>
  </authors>
  <commentList>
    <comment ref="C4" authorId="0" shapeId="0" xr:uid="{ED801FB6-B2D2-4179-9B92-FAF4B7A1A8CB}">
      <text>
        <r>
          <rPr>
            <sz val="9"/>
            <color indexed="81"/>
            <rFont val="Tahoma"/>
            <family val="2"/>
            <charset val="204"/>
          </rPr>
          <t>https://gren.com/ee/hinnakiri/
Alates 01.03.2025</t>
        </r>
      </text>
    </comment>
    <comment ref="C5" authorId="0" shapeId="0" xr:uid="{F5460821-5703-46EE-BD05-571D4E703739}">
      <text>
        <r>
          <rPr>
            <sz val="9"/>
            <color indexed="81"/>
            <rFont val="Tahoma"/>
            <family val="2"/>
            <charset val="204"/>
          </rPr>
          <t>Jaanuar 2025 keskmine elektri börsihind + võrguteenus 0.10 EUR/kWh</t>
        </r>
      </text>
    </comment>
    <comment ref="C6" authorId="0" shapeId="0" xr:uid="{00000000-0006-0000-1300-000002000000}">
      <text>
        <r>
          <rPr>
            <sz val="9"/>
            <color indexed="81"/>
            <rFont val="Tahoma"/>
            <family val="2"/>
            <charset val="204"/>
          </rPr>
          <t>OÜ Järve Biopuhastus veetariifid alates 01.06.2024.a</t>
        </r>
      </text>
    </comment>
    <comment ref="C7" authorId="1" shapeId="0" xr:uid="{7A1C7A8E-C0B6-42ED-848E-6FE65577089F}">
      <text>
        <r>
          <rPr>
            <sz val="9"/>
            <color indexed="81"/>
            <rFont val="Segoe UI"/>
            <charset val="1"/>
          </rPr>
          <t>1m3 külma vee ülessoojendamiseks 5°C→55°C kuluv soojusenergia on keskmiselt 0,05833 MWh</t>
        </r>
      </text>
    </comment>
    <comment ref="C8" authorId="0" shapeId="0" xr:uid="{00000000-0006-0000-1300-000003000000}">
      <text>
        <r>
          <rPr>
            <sz val="9"/>
            <color indexed="81"/>
            <rFont val="Tahoma"/>
            <family val="2"/>
            <charset val="204"/>
          </rPr>
          <t>OÜ Järve Biopuhastus veetariifid alates 01.06.2024.a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400-000001000000}">
      <text>
        <r>
          <rPr>
            <sz val="9"/>
            <color indexed="81"/>
            <rFont val="Tahoma"/>
            <family val="2"/>
            <charset val="204"/>
          </rPr>
          <t xml:space="preserve">Только Inkubaator.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5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5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5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500-000004000000}">
      <text>
        <r>
          <rPr>
            <b/>
            <sz val="9"/>
            <color indexed="81"/>
            <rFont val="Segoe UI"/>
            <family val="2"/>
          </rPr>
          <t>Kersti Raja:</t>
        </r>
        <r>
          <rPr>
            <sz val="9"/>
            <color indexed="81"/>
            <rFont val="Segoe UI"/>
            <family val="2"/>
          </rPr>
          <t xml:space="preserve">
sisaldab kommunaalkulusid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Bedjuhhov Mihhail</author>
    <author>Kersti Raja</author>
  </authors>
  <commentList>
    <comment ref="C4" authorId="0" shapeId="0" xr:uid="{76659203-89D2-442E-A98C-6E818EB027BF}">
      <text>
        <r>
          <rPr>
            <sz val="9"/>
            <color indexed="81"/>
            <rFont val="Tahoma"/>
            <family val="2"/>
            <charset val="204"/>
          </rPr>
          <t>https://gren.com/ee/hinnakiri/
Alates 01.03.2025</t>
        </r>
      </text>
    </comment>
    <comment ref="C5" authorId="0" shapeId="0" xr:uid="{9E1C916F-50BC-42FA-80C6-FA2D10573410}">
      <text>
        <r>
          <rPr>
            <sz val="9"/>
            <color indexed="81"/>
            <rFont val="Tahoma"/>
            <family val="2"/>
            <charset val="204"/>
          </rPr>
          <t>Jaanuar 2025 keskmine elektri börsihind + võrguteenus 0.10 EUR/kWh</t>
        </r>
      </text>
    </comment>
    <comment ref="C6" authorId="0" shapeId="0" xr:uid="{00000000-0006-0000-1600-000002000000}">
      <text>
        <r>
          <rPr>
            <sz val="9"/>
            <color indexed="81"/>
            <rFont val="Tahoma"/>
            <family val="2"/>
            <charset val="204"/>
          </rPr>
          <t>OÜ Järve Biopuhastus veetariifid alates 01.06.2024.a</t>
        </r>
      </text>
    </comment>
    <comment ref="C7" authorId="1" shapeId="0" xr:uid="{6E5DB2C6-CEC4-4ED3-A8D2-F9DD6F51141D}">
      <text>
        <r>
          <rPr>
            <sz val="9"/>
            <color indexed="81"/>
            <rFont val="Segoe UI"/>
            <charset val="1"/>
          </rPr>
          <t>1m3 külma vee ülessoojendamiseks 5°C→55°C kuluv soojusenergia on keskmiselt 0,05833 MWh</t>
        </r>
      </text>
    </comment>
    <comment ref="C8" authorId="0" shapeId="0" xr:uid="{00000000-0006-0000-1600-000003000000}">
      <text>
        <r>
          <rPr>
            <sz val="9"/>
            <color indexed="81"/>
            <rFont val="Tahoma"/>
            <family val="2"/>
            <charset val="204"/>
          </rPr>
          <t>OÜ Järve Biopuhastus veetariifid alates 01.06.2024.a</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700-000001000000}">
      <text>
        <r>
          <rPr>
            <sz val="9"/>
            <color indexed="81"/>
            <rFont val="Tahoma"/>
            <family val="2"/>
            <charset val="204"/>
          </rPr>
          <t xml:space="preserve">Только Inkubaator.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rgb="FF000000"/>
            <rFont val="Tahoma"/>
            <family val="2"/>
            <charset val="186"/>
          </rPr>
          <t xml:space="preserve">Aasta, millal tekkisid/tekivad esimesed projektikulud. Aastanumber kandub siia esilehelt.
</t>
        </r>
        <r>
          <rPr>
            <sz val="9"/>
            <color rgb="FF000000"/>
            <rFont val="Tahoma"/>
            <family val="2"/>
            <charset val="186"/>
          </rPr>
          <t xml:space="preserve">
</t>
        </r>
        <r>
          <rPr>
            <sz val="9"/>
            <color rgb="FF000000"/>
            <rFont val="Tahoma"/>
            <family val="2"/>
            <charset val="186"/>
          </rPr>
          <t xml:space="preserve">Siit kandub see aastanumber edasi tulude ja kulude prognooside tabelitesse.
</t>
        </r>
        <r>
          <rPr>
            <sz val="9"/>
            <color rgb="FF000000"/>
            <rFont val="Tahoma"/>
            <family val="2"/>
            <charset val="186"/>
          </rPr>
          <t xml:space="preserve">
</t>
        </r>
        <r>
          <rPr>
            <sz val="9"/>
            <color rgb="FF000000"/>
            <rFont val="Tahoma"/>
            <family val="2"/>
            <charset val="186"/>
          </rPr>
          <t>(Kõik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8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8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8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800-000004000000}">
      <text>
        <r>
          <rPr>
            <b/>
            <sz val="9"/>
            <color indexed="81"/>
            <rFont val="Segoe UI"/>
            <family val="2"/>
          </rPr>
          <t>Kersti Raja:</t>
        </r>
        <r>
          <rPr>
            <sz val="9"/>
            <color indexed="81"/>
            <rFont val="Segoe UI"/>
            <family val="2"/>
          </rPr>
          <t xml:space="preserve">
sisaldab kommunaalkulusid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51" authorId="0" shapeId="0" xr:uid="{00000000-0006-0000-0300-000002000000}">
      <text>
        <r>
          <rPr>
            <sz val="9"/>
            <color indexed="81"/>
            <rFont val="Tahoma"/>
            <family val="2"/>
            <charset val="186"/>
          </rPr>
          <t>Vajadusel lisage ridu</t>
        </r>
      </text>
    </comment>
    <comment ref="B58" authorId="0" shapeId="0" xr:uid="{00000000-0006-0000-0300-000003000000}">
      <text>
        <r>
          <rPr>
            <sz val="9"/>
            <color indexed="81"/>
            <rFont val="Tahoma"/>
            <family val="2"/>
            <charset val="186"/>
          </rPr>
          <t>Lisada ametikohtade nimetused</t>
        </r>
      </text>
    </comment>
    <comment ref="B77" authorId="0" shapeId="0" xr:uid="{00000000-0006-0000-0300-000004000000}">
      <text>
        <r>
          <rPr>
            <sz val="9"/>
            <color indexed="81"/>
            <rFont val="Tahoma"/>
            <family val="2"/>
            <charset val="186"/>
          </rPr>
          <t>Vajadusel lisage töötajate jaoks ridu</t>
        </r>
      </text>
    </comment>
    <comment ref="B91" authorId="0" shapeId="0" xr:uid="{00000000-0006-0000-0300-000005000000}">
      <text>
        <r>
          <rPr>
            <sz val="9"/>
            <color indexed="81"/>
            <rFont val="Tahoma"/>
            <family val="2"/>
            <charset val="186"/>
          </rPr>
          <t>Vajadusel lisage ridu</t>
        </r>
      </text>
    </comment>
    <comment ref="B103" authorId="0" shapeId="0" xr:uid="{00000000-0006-0000-0300-000006000000}">
      <text>
        <r>
          <rPr>
            <sz val="9"/>
            <color indexed="81"/>
            <rFont val="Tahoma"/>
            <family val="2"/>
            <charset val="186"/>
          </rPr>
          <t>Vajadusel lisage ridu</t>
        </r>
      </text>
    </comment>
    <comment ref="A115" authorId="0" shapeId="0" xr:uid="{00000000-0006-0000-0300-000007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rgb="FF000000"/>
            <rFont val="Tahoma"/>
            <family val="2"/>
            <charset val="186"/>
          </rPr>
          <t>Tabelist 4</t>
        </r>
      </text>
    </comment>
    <comment ref="A8" authorId="0" shapeId="0" xr:uid="{00000000-0006-0000-0600-000002000000}">
      <text>
        <r>
          <rPr>
            <sz val="9"/>
            <color rgb="FF000000"/>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rgb="FF000000"/>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rgb="FF000000"/>
            <rFont val="Tahoma"/>
            <family val="2"/>
            <charset val="186"/>
          </rPr>
          <t>Peab olema negatiivne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rgb="FF000000"/>
            <rFont val="Tahoma"/>
            <family val="2"/>
            <charset val="186"/>
          </rPr>
          <t>Tulude ja kulude prognoosist (tabel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900-000001000000}">
      <text>
        <r>
          <rPr>
            <sz val="9"/>
            <color rgb="FF000000"/>
            <rFont val="Tahoma"/>
            <family val="2"/>
            <charset val="186"/>
          </rPr>
          <t>Tabelist 5</t>
        </r>
      </text>
    </comment>
    <comment ref="A12" authorId="0" shapeId="0" xr:uid="{00000000-0006-0000-0900-000002000000}">
      <text>
        <r>
          <rPr>
            <sz val="9"/>
            <color rgb="FF000000"/>
            <rFont val="Tahoma"/>
            <family val="2"/>
            <charset val="186"/>
          </rPr>
          <t xml:space="preserve">Kirjutage arvestusperioodi viimase aasta tulude ja kulude vahe number 
</t>
        </r>
        <r>
          <rPr>
            <sz val="9"/>
            <color rgb="FF000000"/>
            <rFont val="Tahoma"/>
            <family val="2"/>
            <charset val="186"/>
          </rPr>
          <t>arvestusperioodi ületavatele kasuliku eluea aastatele</t>
        </r>
      </text>
    </comment>
    <comment ref="R12" authorId="0" shapeId="0" xr:uid="{00000000-0006-0000-0900-000003000000}">
      <text>
        <r>
          <rPr>
            <sz val="9"/>
            <color rgb="FF000000"/>
            <rFont val="Tahoma"/>
            <family val="2"/>
            <charset val="186"/>
          </rPr>
          <t>Kirjutage arvestusperioodi viimase aasta tulude ja kulude vahe number nii mitmele aastale, kui palju projekti vara kasulik eluiga on pikem kui arvestusperiood</t>
        </r>
      </text>
    </comment>
    <comment ref="A14" authorId="0" shapeId="0" xr:uid="{00000000-0006-0000-09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<sst xmlns="http://schemas.openxmlformats.org/spreadsheetml/2006/main" count="1554" uniqueCount="552">
  <si>
    <t>Hind</t>
  </si>
  <si>
    <t>Müügitulu</t>
  </si>
  <si>
    <t>Ühik</t>
  </si>
  <si>
    <t>Eur</t>
  </si>
  <si>
    <t>Märts</t>
  </si>
  <si>
    <t>Mai</t>
  </si>
  <si>
    <t>Juuni</t>
  </si>
  <si>
    <t>Juuli</t>
  </si>
  <si>
    <t>TULUD KOKKU</t>
  </si>
  <si>
    <t>KULUD</t>
  </si>
  <si>
    <t>Tööjõukulud</t>
  </si>
  <si>
    <t>Töötaja 5</t>
  </si>
  <si>
    <t>Töötaja 6</t>
  </si>
  <si>
    <t>Töötaja 7</t>
  </si>
  <si>
    <t>Töötaja 8</t>
  </si>
  <si>
    <t>Töötaja 9</t>
  </si>
  <si>
    <t>Töötaja 10</t>
  </si>
  <si>
    <t>Sotsiaal- ja tk.m</t>
  </si>
  <si>
    <t>Brutotasud kokku</t>
  </si>
  <si>
    <t>Tööjõukulud kokku</t>
  </si>
  <si>
    <t>Halduskulud</t>
  </si>
  <si>
    <t>Halduskulud kokku</t>
  </si>
  <si>
    <t>Turunduskulud</t>
  </si>
  <si>
    <t>Kulu 6</t>
  </si>
  <si>
    <t>Kulu 7</t>
  </si>
  <si>
    <t>Kulu 8</t>
  </si>
  <si>
    <t>Kulu 9</t>
  </si>
  <si>
    <t>Kulu 10</t>
  </si>
  <si>
    <t>Turunduskulud kokku</t>
  </si>
  <si>
    <t>Muud kulud kokku</t>
  </si>
  <si>
    <t>KULUD KOKKU</t>
  </si>
  <si>
    <t>Tulude ja kulude vahe</t>
  </si>
  <si>
    <t>TULUD</t>
  </si>
  <si>
    <t>Muu kulu 5</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</si>
  <si>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</si>
  <si>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</si>
  <si>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</si>
  <si>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</si>
  <si>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</si>
  <si>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</si>
  <si>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</si>
  <si>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</si>
  <si>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</si>
  <si>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</si>
  <si>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</si>
  <si>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</si>
  <si>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</si>
  <si>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</si>
  <si>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</si>
  <si>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</si>
  <si>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</si>
  <si>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</si>
  <si>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</si>
  <si>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</si>
  <si>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</si>
  <si>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</si>
  <si>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</si>
  <si>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</si>
  <si>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</si>
  <si>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</si>
  <si>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</si>
  <si>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</si>
  <si>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</si>
  <si>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</si>
  <si>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</si>
  <si>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</si>
  <si>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</si>
  <si>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</si>
  <si>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</si>
  <si>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</si>
  <si>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</si>
  <si>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</si>
  <si>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</si>
  <si>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</si>
  <si>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</si>
  <si>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</si>
  <si>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</si>
  <si>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</si>
  <si>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</si>
  <si>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</si>
  <si>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</si>
  <si>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</si>
  <si>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</si>
  <si>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</si>
  <si>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</si>
  <si>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</si>
  <si>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</si>
  <si>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</si>
  <si>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</si>
  <si>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</si>
  <si>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</si>
  <si>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</si>
  <si>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</si>
  <si>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</si>
  <si>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</si>
  <si>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</si>
  <si>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</si>
  <si>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</si>
  <si>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</si>
  <si>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</si>
  <si>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</si>
  <si>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</si>
  <si>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</si>
  <si>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</si>
  <si>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</si>
  <si>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</si>
  <si>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</si>
  <si>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</si>
  <si>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</si>
  <si>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</si>
  <si>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</si>
  <si>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</si>
  <si>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</si>
  <si>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</si>
  <si>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</si>
  <si>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</si>
  <si>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</si>
  <si>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</si>
  <si>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</si>
  <si>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</si>
  <si>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</si>
  <si>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</si>
  <si>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</si>
  <si>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</si>
  <si>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</si>
  <si>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</si>
  <si>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</si>
  <si>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</si>
  <si>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</si>
  <si>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</si>
  <si>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</si>
  <si>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</si>
  <si>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</si>
  <si>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</si>
  <si>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</si>
  <si>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</si>
  <si>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</si>
  <si>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</si>
  <si>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</si>
  <si>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</si>
  <si>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</si>
  <si>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</si>
  <si>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</si>
  <si>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</si>
  <si>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</si>
  <si>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</si>
  <si>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</si>
  <si>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</si>
  <si>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</si>
  <si>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</si>
  <si>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</si>
  <si>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</si>
  <si>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</si>
  <si>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</si>
  <si>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</si>
  <si>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</si>
  <si>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</si>
  <si>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</si>
  <si>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</si>
  <si>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</si>
  <si>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</si>
  <si>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</si>
  <si>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</si>
  <si>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</si>
  <si>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</si>
  <si>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</si>
  <si>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</si>
  <si>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</si>
  <si>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</si>
  <si>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</si>
  <si>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</si>
  <si>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</si>
  <si>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</si>
  <si>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</si>
  <si>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</si>
  <si>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</si>
  <si>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</si>
  <si>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</si>
  <si>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</si>
  <si>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</si>
  <si>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</si>
  <si>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</si>
  <si>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</si>
  <si>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</si>
  <si>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</si>
  <si>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</si>
  <si>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</si>
  <si>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</si>
  <si>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</si>
  <si>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</si>
  <si>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</si>
  <si>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</si>
  <si>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</si>
  <si>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</si>
  <si>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</si>
  <si>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</si>
  <si>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</si>
  <si>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</si>
  <si>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</si>
  <si>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</si>
  <si>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</si>
  <si>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</si>
  <si>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</si>
  <si>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</si>
  <si>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</si>
  <si>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</si>
  <si>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</si>
  <si>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</si>
  <si>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</si>
  <si>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</si>
  <si>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</si>
  <si>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</si>
  <si>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</si>
  <si>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</si>
  <si>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</si>
  <si>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</si>
  <si>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</si>
  <si>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</si>
  <si>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</si>
  <si>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</si>
  <si>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</si>
  <si>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</si>
  <si>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</si>
  <si>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</si>
  <si>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</si>
  <si>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</si>
  <si>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</si>
  <si>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</si>
  <si>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</si>
  <si>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</si>
  <si>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</si>
  <si>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</si>
  <si>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</si>
  <si>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</si>
  <si>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</si>
  <si>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</si>
  <si>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</si>
  <si>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</si>
  <si>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</si>
  <si>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</si>
  <si>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</si>
  <si>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</si>
  <si>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</si>
  <si>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</si>
  <si>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</si>
  <si>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3.2. Seadmete ostmise kulud</t>
  </si>
  <si>
    <t>4. Struktuuritoetuse andmisest avalikkuse teavitamine</t>
  </si>
  <si>
    <t>Сумарные показатели за период</t>
  </si>
  <si>
    <t>3 года</t>
  </si>
  <si>
    <t>5 лет</t>
  </si>
  <si>
    <t>10 лет</t>
  </si>
  <si>
    <t>Net Cash flow</t>
  </si>
  <si>
    <t>NPV:</t>
  </si>
  <si>
    <t>Tähendus</t>
  </si>
  <si>
    <t>NPV</t>
  </si>
  <si>
    <t>mln eurot</t>
  </si>
  <si>
    <t>PI</t>
  </si>
  <si>
    <t>IRR</t>
  </si>
  <si>
    <t>DPP</t>
  </si>
  <si>
    <t>aasta</t>
  </si>
  <si>
    <t>Сравнение основных показателей</t>
  </si>
  <si>
    <t>Дополнительные налоговые поступления (2016-2042)</t>
  </si>
  <si>
    <t>Дополнительный экспорт  (2016-2042)</t>
  </si>
  <si>
    <t>Дополнительные инвестиции (2016-2042)</t>
  </si>
  <si>
    <t>Дополнительные постоянные рабочие места  (2016-2042)</t>
  </si>
  <si>
    <t>Дополнительные рабочие места  (2016-2042)</t>
  </si>
  <si>
    <t>чел.</t>
  </si>
  <si>
    <t>Maht, m3</t>
  </si>
  <si>
    <t>А</t>
  </si>
  <si>
    <t>P</t>
  </si>
  <si>
    <t>IVIA</t>
  </si>
  <si>
    <t>N</t>
  </si>
  <si>
    <t>lift ja trepikoda</t>
  </si>
  <si>
    <t>Lift, trepikoda</t>
  </si>
  <si>
    <t>Ühisruumid</t>
  </si>
  <si>
    <t>Lift ja trepikoda</t>
  </si>
  <si>
    <t>Продуктивные</t>
  </si>
  <si>
    <t>Непродуктивные</t>
  </si>
  <si>
    <t>Inkubaator</t>
  </si>
  <si>
    <t>m2</t>
  </si>
  <si>
    <t>Objekt</t>
  </si>
  <si>
    <t>eurot/päev</t>
  </si>
  <si>
    <t>%</t>
  </si>
  <si>
    <t>Прочее</t>
  </si>
  <si>
    <t>в т.ч. расходы оплачиваемые клиентами</t>
  </si>
  <si>
    <t>в т.ч. расходы оплачиваемые IVIA</t>
  </si>
  <si>
    <t>Küte</t>
  </si>
  <si>
    <t>Elekter</t>
  </si>
  <si>
    <t>Обслуживание техносистем</t>
  </si>
  <si>
    <t xml:space="preserve">пожарн, отоплен, электр, вент </t>
  </si>
  <si>
    <t>Обслуживание ICT и автоматика систем (в т.ч. сервер)</t>
  </si>
  <si>
    <t>Маркетинг (собственное финансирование IVIA)</t>
  </si>
  <si>
    <t>Уборка</t>
  </si>
  <si>
    <t>Вывоз бытового мусора</t>
  </si>
  <si>
    <t>Уборка студий</t>
  </si>
  <si>
    <t>Уборка внешней территорий</t>
  </si>
  <si>
    <t>Покосы</t>
  </si>
  <si>
    <t>Снег на территории</t>
  </si>
  <si>
    <t>Снег с крыши</t>
  </si>
  <si>
    <t>Закупка хозтоваров, концтовары (IVIA)</t>
  </si>
  <si>
    <t>Связь, интернет</t>
  </si>
  <si>
    <t>EBITDA</t>
  </si>
  <si>
    <t>Andmed sotsiaalmajandusliku mõju analüüsiks</t>
  </si>
  <si>
    <t>MÕJU INKUBATSIOONIKESKUSE INKUBANTIDE TEGEVUSEST</t>
  </si>
  <si>
    <t>Ettevõtete arv</t>
  </si>
  <si>
    <t>Ettevõtete arv inkubaatoris jooksvas aastas</t>
  </si>
  <si>
    <t>Ettevõtete ellujäämise määr peale inkubatsioonist väljumist:</t>
  </si>
  <si>
    <t>Ettevõtte elutsükkel, aastat</t>
  </si>
  <si>
    <t>Ettevõtete parameetrid kumulatiivselt</t>
  </si>
  <si>
    <t>1-3</t>
  </si>
  <si>
    <t>4-5</t>
  </si>
  <si>
    <t>6-8</t>
  </si>
  <si>
    <t>9-10</t>
  </si>
  <si>
    <t>10+</t>
  </si>
  <si>
    <t>Töötajate keskmine arv, in.</t>
  </si>
  <si>
    <t>Töötajate keskmine brutopalk Ida-Virumaal, eurot/kuus</t>
  </si>
  <si>
    <t>Ekspordi osakaal müügis, keskmiselt, %</t>
  </si>
  <si>
    <t>Lisandväärtuse osakaal toote hinnas, keskmiselt, %</t>
  </si>
  <si>
    <t>13 лет</t>
  </si>
  <si>
    <t>в т.ч возраст:</t>
  </si>
  <si>
    <t>1-3 лет</t>
  </si>
  <si>
    <t>4-5 лет</t>
  </si>
  <si>
    <t>6-8 лет</t>
  </si>
  <si>
    <t>9-10 лет</t>
  </si>
  <si>
    <t xml:space="preserve"> +10 лет</t>
  </si>
  <si>
    <t>Ettevõtte keskmine müügikäive, eurot/aastas</t>
  </si>
  <si>
    <t>IVIA laen</t>
  </si>
  <si>
    <t>Inkubaatori  ehitamise kulud</t>
  </si>
  <si>
    <t>Seadmete ostmise kulud</t>
  </si>
  <si>
    <t>5 aastat</t>
  </si>
  <si>
    <t>10 aastat</t>
  </si>
  <si>
    <t>Uued töökohad, in</t>
  </si>
  <si>
    <t>Maksude täiendav laekumine, mln eurot</t>
  </si>
  <si>
    <t>sh sotsiaalmaks, mln eurot</t>
  </si>
  <si>
    <t>sh tulumaks, mln eurot</t>
  </si>
  <si>
    <t>sh KM, mln eurot</t>
  </si>
  <si>
    <t>sh laekumine kohalikesse eelarvetesse, mln eurot</t>
  </si>
  <si>
    <t>Ekspordi kasv regioonis, mln eurot</t>
  </si>
  <si>
    <t>Lisandväärtuse kasv, mln eurot</t>
  </si>
  <si>
    <t>Summaarsed näitajad peale Jõhvi Inkubaatori käivitamist</t>
  </si>
  <si>
    <t>Müügitulu uutest ettevõtmistest, mln eurot</t>
  </si>
  <si>
    <t>Kokku</t>
  </si>
  <si>
    <t>th eurot/aastas</t>
  </si>
  <si>
    <t>TEGEVUSEELARVE</t>
  </si>
  <si>
    <t>Kuu</t>
  </si>
  <si>
    <t>Tulud kokku</t>
  </si>
  <si>
    <t>Tulud</t>
  </si>
  <si>
    <t>Kulud</t>
  </si>
  <si>
    <t>Tegevuskulud</t>
  </si>
  <si>
    <t>Tegevuskulud kokku</t>
  </si>
  <si>
    <t>Kulud kokku</t>
  </si>
  <si>
    <t>Kasum</t>
  </si>
  <si>
    <t>EUR/kuu</t>
  </si>
  <si>
    <t>EUR/aasta</t>
  </si>
  <si>
    <t>% kogu sissetulekust</t>
  </si>
  <si>
    <t>% kõigist kuludest</t>
  </si>
  <si>
    <t>% tegevus-kuludest</t>
  </si>
  <si>
    <t>Eksport</t>
  </si>
  <si>
    <t>eurot</t>
  </si>
  <si>
    <t>Projekti tasuvusanalüüs avalikule sektorile</t>
  </si>
  <si>
    <t>Avaliku sektori investeeringud</t>
  </si>
  <si>
    <t>Avaliku sektori tulud</t>
  </si>
  <si>
    <t>Akkumuleeritud Net Cash Flow</t>
  </si>
  <si>
    <t>Diskonteerimismäär</t>
  </si>
  <si>
    <t>Koefitsient</t>
  </si>
  <si>
    <t>Diskonteeritud investeeringud</t>
  </si>
  <si>
    <t>Diskonteeritud tulud</t>
  </si>
  <si>
    <t>Diskonteeritud Net Cash Flow</t>
  </si>
  <si>
    <t>Diskonteeritud akkumuleeritud Net Cash Flow</t>
  </si>
  <si>
    <t>Otsesed ja kaudsed maksud kokku</t>
  </si>
  <si>
    <t>sh sotsiaalmaks</t>
  </si>
  <si>
    <t>sh tulumaks</t>
  </si>
  <si>
    <t>sh KOV-le (11,57%)</t>
  </si>
  <si>
    <t>sh KM</t>
  </si>
  <si>
    <t>Uued töökohad kokku</t>
  </si>
  <si>
    <t>Uusi ettevõtteid kokku</t>
  </si>
  <si>
    <t>Ettevõtete muud tulemused kokku:</t>
  </si>
  <si>
    <t>Lisandväärtus</t>
  </si>
  <si>
    <t>Müük</t>
  </si>
  <si>
    <t>Ekspordi kasv</t>
  </si>
  <si>
    <t>Töökohad (kokku)</t>
  </si>
  <si>
    <t>Töötasufond</t>
  </si>
  <si>
    <t>Sotsiaalmaks</t>
  </si>
  <si>
    <t>Tulumaks</t>
  </si>
  <si>
    <t>sh riigieelarvesse</t>
  </si>
  <si>
    <t>KM</t>
  </si>
  <si>
    <t>Arvestamise alus</t>
  </si>
  <si>
    <t>m3</t>
  </si>
  <si>
    <t>Objekt kuulub kategooriasse Äriinfrastruktuur. Selle kategooria puhul on arvestusperioodi pikkus RM juhendi järgi 10-15 aastat. Maksimaalse perioodi valimisel lähtuti realistlikust perioodist, mil ehitatud infrastruktuur ei nõua suuri renoveerimiskulusid.</t>
  </si>
  <si>
    <t>Sihtasutus Ida-Viru Investeeringute Agentuur</t>
  </si>
  <si>
    <t>Teet Kuusmik</t>
  </si>
  <si>
    <t>teet.kuusmik@ivia.ee</t>
  </si>
  <si>
    <t>511 4685</t>
  </si>
  <si>
    <t>Üüritulud</t>
  </si>
  <si>
    <t>Arved üürnikele kommunaalkulude eest</t>
  </si>
  <si>
    <t>Haldusjuht</t>
  </si>
  <si>
    <t>Majandusjuht</t>
  </si>
  <si>
    <t>Vesi ja kanalisatsioon</t>
  </si>
  <si>
    <t>sh külm vesi</t>
  </si>
  <si>
    <t>sh soe vesi</t>
  </si>
  <si>
    <t>Tehnohooldus</t>
  </si>
  <si>
    <t>Turundus</t>
  </si>
  <si>
    <t>Hooldus (territoorium)</t>
  </si>
  <si>
    <t>Valve</t>
  </si>
  <si>
    <t>Kindlustus</t>
  </si>
  <si>
    <t>Muu</t>
  </si>
  <si>
    <t>Amortisatsioon</t>
  </si>
  <si>
    <t>Remonditööd</t>
  </si>
  <si>
    <t>Jooksev remont</t>
  </si>
  <si>
    <t>Personalikulud</t>
  </si>
  <si>
    <t>Kommunaalteenused</t>
  </si>
  <si>
    <t>Tehnilised ruumid</t>
  </si>
  <si>
    <t>Inkubaator kokku</t>
  </si>
  <si>
    <t>Kohvik</t>
  </si>
  <si>
    <t>Seminariruumid</t>
  </si>
  <si>
    <t>Fuajee</t>
  </si>
  <si>
    <t>Open Office (12 kohta)</t>
  </si>
  <si>
    <t xml:space="preserve"> IVIA</t>
  </si>
  <si>
    <t>Teised üürnikud</t>
  </si>
  <si>
    <t>SISENDANDMED</t>
  </si>
  <si>
    <t>Kommunaalteenuste maksumus</t>
  </si>
  <si>
    <t>Elektrienergia</t>
  </si>
  <si>
    <t>Külm vesi</t>
  </si>
  <si>
    <t>Soe vesi</t>
  </si>
  <si>
    <t>Kanalisatsioon</t>
  </si>
  <si>
    <t>euro/m3</t>
  </si>
  <si>
    <t>euro/KWh</t>
  </si>
  <si>
    <t>Teenuste tarbimise hinnangulised keskmised näitajad</t>
  </si>
  <si>
    <t>Üüriruumid</t>
  </si>
  <si>
    <t>Vabanevad ruumid</t>
  </si>
  <si>
    <t>Stuudio</t>
  </si>
  <si>
    <t>W/1 m2/tunnis</t>
  </si>
  <si>
    <t>m3/in/kuus</t>
  </si>
  <si>
    <t>Ruumide jaotus</t>
  </si>
  <si>
    <t>Vabad ruumid</t>
  </si>
  <si>
    <t>Tööreziim</t>
  </si>
  <si>
    <t>1 ettevõte</t>
  </si>
  <si>
    <t>Vahetuste arv</t>
  </si>
  <si>
    <t>Töötundide keskmine arv päevas</t>
  </si>
  <si>
    <t>Töötundide keskmine arv aastas</t>
  </si>
  <si>
    <t>Valgustuse reziim:</t>
  </si>
  <si>
    <t>Ööreziim, tundi päevas</t>
  </si>
  <si>
    <t>Ööreziim, tundi aastas</t>
  </si>
  <si>
    <t>Töötajad ja külastajad</t>
  </si>
  <si>
    <t>Inimeste arv</t>
  </si>
  <si>
    <t>Üüriruumid (m2)/1 in</t>
  </si>
  <si>
    <t>Korrus</t>
  </si>
  <si>
    <t>1 korrus</t>
  </si>
  <si>
    <t>2 korrus</t>
  </si>
  <si>
    <t>4 korrus</t>
  </si>
  <si>
    <t>5 korrus</t>
  </si>
  <si>
    <t>6 korrus</t>
  </si>
  <si>
    <t>Puhkeala</t>
  </si>
  <si>
    <t>Brutto pind, m2</t>
  </si>
  <si>
    <t>Netto pind, m2</t>
  </si>
  <si>
    <t>sh üüriruumid, m2</t>
  </si>
  <si>
    <t>sh muud ruumid, m2</t>
  </si>
  <si>
    <t>IVIA osakaal üüriruumides</t>
  </si>
  <si>
    <t>Üürnike ja IVIA kogukulude jaotuse % arvutamine (vastavalt üüripindade osakaalule)</t>
  </si>
  <si>
    <t>Üüripinnad</t>
  </si>
  <si>
    <t>Välja üüritud</t>
  </si>
  <si>
    <t>Vabad üüripinnad + IVIA</t>
  </si>
  <si>
    <t>Üüritulu kokku</t>
  </si>
  <si>
    <t>Valgustus</t>
  </si>
  <si>
    <t>Hooldus (hooned)</t>
  </si>
  <si>
    <t>Arved üld- ja kommunaalkulude eest kokku</t>
  </si>
  <si>
    <t>Tuluühik</t>
  </si>
  <si>
    <t>Täituvuse protsent</t>
  </si>
  <si>
    <t>Tulu, eurot/kuus</t>
  </si>
  <si>
    <t>Tulu, eurot/aastas</t>
  </si>
  <si>
    <t>% kõikidest tuludest</t>
  </si>
  <si>
    <t>eurot/m2 kuus</t>
  </si>
  <si>
    <t>eurot/1 töökoht/päevas</t>
  </si>
  <si>
    <t>Maksumus, eurot/kuus</t>
  </si>
  <si>
    <t>Maksumus, eurot/aastas</t>
  </si>
  <si>
    <t>Kuus</t>
  </si>
  <si>
    <t>Aastas</t>
  </si>
  <si>
    <t>Välja üüritud + % ühis</t>
  </si>
  <si>
    <t>Vabad ruumid + % ühis</t>
  </si>
  <si>
    <t>kW/aastas</t>
  </si>
  <si>
    <t>kW*h/aastas</t>
  </si>
  <si>
    <t>IVIA+% ühis</t>
  </si>
  <si>
    <t>% investeeringud</t>
  </si>
  <si>
    <t>Amortisatsioon kokku</t>
  </si>
  <si>
    <t>Inkubeeritavate ettevõtete mõju</t>
  </si>
  <si>
    <t>Uued ettevõtted:</t>
  </si>
  <si>
    <t>jooksev aasta</t>
  </si>
  <si>
    <t>ellujäämise % 5 aasta jooksul</t>
  </si>
  <si>
    <t>tegutsevad ettevõtted arvestades ellujäämise %</t>
  </si>
  <si>
    <t>Maksud kokku kõikidesse eelarvetesse</t>
  </si>
  <si>
    <t>mln eurot/aastas</t>
  </si>
  <si>
    <t>ettevõtet</t>
  </si>
  <si>
    <t>inimest</t>
  </si>
  <si>
    <t>13 aastat</t>
  </si>
  <si>
    <t>Занятость в проекте:</t>
  </si>
  <si>
    <t>(2 раза х неделя х 8 ч. х 10 евро + 700/год) х 1 объекта</t>
  </si>
  <si>
    <t>300 евро в месяц х 3 месяца</t>
  </si>
  <si>
    <t>1 раз/месяц х 6ч х 13,5 евро х 7 мес</t>
  </si>
  <si>
    <t>Asendusinvesteeringuid</t>
  </si>
  <si>
    <t>aasta number pärast projekti elluviimist</t>
  </si>
  <si>
    <t>% asendamine esialgsest maksumusest</t>
  </si>
  <si>
    <t>Sisustus, eurot</t>
  </si>
  <si>
    <t>Asendusinvesteeringud:</t>
  </si>
  <si>
    <t>Üürituba</t>
  </si>
  <si>
    <t>Arendusjuht</t>
  </si>
  <si>
    <t>Laenu põhiosa tagasimaksmine (IVIA laen)</t>
  </si>
  <si>
    <t>Kokku rendile</t>
  </si>
  <si>
    <t>Renditud</t>
  </si>
  <si>
    <t>Ei ole renditud</t>
  </si>
  <si>
    <t>1 - 3</t>
  </si>
  <si>
    <t>4 - 7</t>
  </si>
  <si>
    <t>8 - 13</t>
  </si>
  <si>
    <t>(stsenaarium: max täituvus)</t>
  </si>
  <si>
    <t>Sisustus</t>
  </si>
  <si>
    <t>Periood, aastat projekti realiseerumisest</t>
  </si>
  <si>
    <t xml:space="preserve">Keskmine täituvus </t>
  </si>
  <si>
    <t>Keskmise täituvuse stsenaariumid</t>
  </si>
  <si>
    <t>Tulud, eurot/aastas</t>
  </si>
  <si>
    <t>vähene</t>
  </si>
  <si>
    <t>keskmine</t>
  </si>
  <si>
    <t>kõrge</t>
  </si>
  <si>
    <t>Kulud (amortisatsioonita), eurot/aastas</t>
  </si>
  <si>
    <t>EBITDA, eurot/aastas</t>
  </si>
  <si>
    <t>Kasum, eurot/aastas</t>
  </si>
  <si>
    <t>ÕÜF toetus</t>
  </si>
  <si>
    <t>Üüritulud. 1 korrus. Kohvik</t>
  </si>
  <si>
    <t xml:space="preserve">Üüritulud. 3 korrus. Open Office. </t>
  </si>
  <si>
    <t>Üüritulud. 5 korrus. Üürituba</t>
  </si>
  <si>
    <t>Üürikabinetid</t>
  </si>
  <si>
    <r>
      <t>m</t>
    </r>
    <r>
      <rPr>
        <sz val="12"/>
        <color theme="1"/>
        <rFont val="Calibri"/>
        <family val="2"/>
        <charset val="204"/>
        <scheme val="minor"/>
      </rPr>
      <t>2</t>
    </r>
  </si>
  <si>
    <t>Eur/m2/aastas</t>
  </si>
  <si>
    <t>Kohta</t>
  </si>
  <si>
    <t>Eur/kohta/aastas</t>
  </si>
  <si>
    <t>Kuud</t>
  </si>
  <si>
    <t>Eur/kuus</t>
  </si>
  <si>
    <t>Üüritulud. 4 korrus. Üürikabinet</t>
  </si>
  <si>
    <t>Üürikabinet</t>
  </si>
  <si>
    <t>ettevõte</t>
  </si>
  <si>
    <t>Üüritulud. 4 korrus. Üüriruumid</t>
  </si>
  <si>
    <t>Üüritulud. 3 korrus. Üüriruumid</t>
  </si>
  <si>
    <t>Üüritulud. 2 korrus. Üüriruumid</t>
  </si>
  <si>
    <t>Üüritulud. 5 korrus. Üüriruumid</t>
  </si>
  <si>
    <t>3 korrus</t>
  </si>
  <si>
    <t>Inkubant-ettevõtted</t>
  </si>
  <si>
    <t>Keskküte</t>
  </si>
  <si>
    <t>euro/MW</t>
  </si>
  <si>
    <t>kW/1 m3/aastas</t>
  </si>
  <si>
    <t>MW/aastas</t>
  </si>
  <si>
    <t>Jõhvi digi- ja multimeedia inkubatsioonikeskus</t>
  </si>
  <si>
    <t>bruttopalk, eurot</t>
  </si>
  <si>
    <t>3.1. Inkubaatori  ehitamise kulud, sh omanikujärelevalve teenus ja projekti ekspertiis</t>
  </si>
  <si>
    <t>euro/MWH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</si>
</sst>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00"/>
    <numFmt numFmtId="174" formatCode="0.0"/>
    <numFmt numFmtId="175" formatCode="#,##0.0,,;;"/>
    <numFmt numFmtId="176" formatCode="#,##0,,;;"/>
    <numFmt numFmtId="177" formatCode="#,##0.00,,;;"/>
    <numFmt numFmtId="178" formatCode="#,##0.00,,;\-#,##0.00,,;"/>
    <numFmt numFmtId="179" formatCode="#,##0,,;\-#,##0,,;"/>
    <numFmt numFmtId="180" formatCode="#,##0.00,,;\-#,##0.00,,;0"/>
  </numFmts>
  <fonts count="13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b/>
      <strike/>
      <sz val="12"/>
      <color rgb="FFCC6600"/>
      <name val="Calibri"/>
      <family val="2"/>
      <charset val="186"/>
      <scheme val="minor"/>
    </font>
    <font>
      <sz val="11"/>
      <color rgb="FFFF0000"/>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charset val="204"/>
      <scheme val="minor"/>
    </font>
    <font>
      <sz val="9"/>
      <color indexed="81"/>
      <name val="Tahoma"/>
      <family val="2"/>
      <charset val="204"/>
    </font>
    <font>
      <b/>
      <sz val="9"/>
      <color indexed="81"/>
      <name val="Segoe UI"/>
      <family val="2"/>
    </font>
    <font>
      <sz val="9"/>
      <color indexed="81"/>
      <name val="Segoe UI"/>
      <family val="2"/>
    </font>
    <font>
      <b/>
      <i/>
      <sz val="11"/>
      <color theme="1"/>
      <name val="Calibri"/>
      <family val="2"/>
      <charset val="204"/>
      <scheme val="minor"/>
    </font>
    <font>
      <sz val="9"/>
      <color rgb="FFFF0000"/>
      <name val="Calibri"/>
      <family val="2"/>
      <charset val="204"/>
      <scheme val="minor"/>
    </font>
    <font>
      <sz val="9"/>
      <color theme="1"/>
      <name val="Calibri"/>
      <family val="2"/>
      <charset val="204"/>
      <scheme val="minor"/>
    </font>
    <font>
      <sz val="9"/>
      <name val="Calibri"/>
      <family val="2"/>
      <charset val="204"/>
      <scheme val="minor"/>
    </font>
    <font>
      <sz val="11"/>
      <color theme="1"/>
      <name val="Times New Roman"/>
      <family val="1"/>
      <charset val="204"/>
    </font>
    <font>
      <sz val="9"/>
      <color theme="1"/>
      <name val="Times New Roman"/>
      <family val="1"/>
      <charset val="204"/>
    </font>
    <font>
      <sz val="10"/>
      <name val="Arial"/>
      <family val="2"/>
      <charset val="204"/>
    </font>
    <font>
      <sz val="10"/>
      <name val="Times New Roman"/>
      <family val="1"/>
      <charset val="204"/>
    </font>
    <font>
      <sz val="10"/>
      <color theme="1"/>
      <name val="Times New Roman"/>
      <family val="1"/>
      <charset val="204"/>
    </font>
    <font>
      <sz val="12"/>
      <name val="Times New Roman"/>
      <family val="1"/>
      <charset val="204"/>
    </font>
    <font>
      <sz val="12"/>
      <color theme="0"/>
      <name val="Times New Roman"/>
      <family val="1"/>
      <charset val="204"/>
    </font>
    <font>
      <sz val="11"/>
      <name val="Times New Roman"/>
      <family val="1"/>
      <charset val="204"/>
    </font>
    <font>
      <sz val="9"/>
      <name val="Times New Roman"/>
      <family val="1"/>
      <charset val="204"/>
    </font>
    <font>
      <u/>
      <sz val="11"/>
      <name val="Times New Roman"/>
      <family val="1"/>
      <charset val="204"/>
    </font>
    <font>
      <b/>
      <sz val="11"/>
      <name val="Times New Roman"/>
      <family val="1"/>
      <charset val="204"/>
    </font>
    <font>
      <b/>
      <sz val="11"/>
      <color theme="1"/>
      <name val="Times New Roman"/>
      <family val="1"/>
      <charset val="204"/>
    </font>
    <font>
      <b/>
      <i/>
      <sz val="11"/>
      <color theme="1"/>
      <name val="Times New Roman"/>
      <family val="1"/>
      <charset val="204"/>
    </font>
    <font>
      <b/>
      <sz val="14"/>
      <color theme="1"/>
      <name val="Times New Roman"/>
      <family val="1"/>
      <charset val="204"/>
    </font>
    <font>
      <b/>
      <sz val="11"/>
      <color rgb="FF002060"/>
      <name val="Times New Roman"/>
      <family val="1"/>
      <charset val="204"/>
    </font>
    <font>
      <i/>
      <sz val="12"/>
      <color theme="1"/>
      <name val="Times New Roman"/>
      <family val="1"/>
      <charset val="204"/>
    </font>
    <font>
      <sz val="12"/>
      <color theme="1"/>
      <name val="Times New Roman"/>
      <family val="1"/>
      <charset val="204"/>
    </font>
    <font>
      <b/>
      <sz val="12"/>
      <color theme="1"/>
      <name val="Times New Roman"/>
      <family val="1"/>
      <charset val="204"/>
    </font>
    <font>
      <u/>
      <sz val="11"/>
      <color theme="1"/>
      <name val="Times New Roman"/>
      <family val="1"/>
      <charset val="204"/>
    </font>
    <font>
      <i/>
      <sz val="11"/>
      <color theme="1"/>
      <name val="Times New Roman"/>
      <family val="1"/>
      <charset val="204"/>
    </font>
    <font>
      <i/>
      <sz val="11"/>
      <color theme="1"/>
      <name val="Times New Roman"/>
      <family val="1"/>
    </font>
    <font>
      <b/>
      <sz val="9"/>
      <color indexed="81"/>
      <name val="Segoe UI"/>
      <family val="2"/>
      <charset val="204"/>
    </font>
    <font>
      <sz val="9"/>
      <color indexed="81"/>
      <name val="Segoe UI"/>
      <family val="2"/>
      <charset val="204"/>
    </font>
    <font>
      <b/>
      <sz val="8"/>
      <color indexed="81"/>
      <name val="Segoe UI"/>
      <family val="2"/>
    </font>
    <font>
      <sz val="8"/>
      <color indexed="81"/>
      <name val="Segoe UI"/>
      <family val="2"/>
    </font>
    <font>
      <b/>
      <sz val="9"/>
      <color indexed="81"/>
      <name val="Tahoma"/>
      <family val="2"/>
      <charset val="204"/>
    </font>
    <font>
      <sz val="11"/>
      <name val="Calibri"/>
      <family val="2"/>
      <scheme val="minor"/>
    </font>
    <font>
      <i/>
      <sz val="11"/>
      <name val="Calibri"/>
      <family val="2"/>
      <scheme val="minor"/>
    </font>
    <font>
      <b/>
      <sz val="11"/>
      <name val="Calibri"/>
      <family val="2"/>
      <scheme val="minor"/>
    </font>
    <font>
      <sz val="11"/>
      <color theme="0"/>
      <name val="Times New Roman"/>
      <family val="1"/>
      <charset val="204"/>
    </font>
    <font>
      <b/>
      <i/>
      <sz val="11"/>
      <name val="Calibri"/>
      <family val="2"/>
      <scheme val="minor"/>
    </font>
    <font>
      <sz val="10"/>
      <name val="Calibri"/>
      <family val="2"/>
      <scheme val="minor"/>
    </font>
    <font>
      <i/>
      <sz val="9"/>
      <name val="Calibri"/>
      <family val="2"/>
      <scheme val="minor"/>
    </font>
    <font>
      <sz val="9"/>
      <name val="Calibri"/>
      <family val="2"/>
      <scheme val="minor"/>
    </font>
    <font>
      <sz val="8"/>
      <name val="Calibri"/>
      <family val="2"/>
      <scheme val="minor"/>
    </font>
    <font>
      <b/>
      <u/>
      <sz val="11"/>
      <name val="Times New Roman"/>
      <family val="1"/>
      <charset val="204"/>
    </font>
    <font>
      <b/>
      <sz val="11"/>
      <name val="Calibri"/>
      <family val="2"/>
      <charset val="204"/>
      <scheme val="minor"/>
    </font>
    <font>
      <i/>
      <sz val="9"/>
      <color theme="1"/>
      <name val="Times New Roman"/>
      <family val="1"/>
      <charset val="204"/>
    </font>
    <font>
      <sz val="11"/>
      <color theme="1"/>
      <name val="Calibri"/>
      <family val="2"/>
      <scheme val="minor"/>
    </font>
    <font>
      <sz val="11"/>
      <color rgb="FFFF0000"/>
      <name val="Calibri"/>
      <family val="2"/>
      <scheme val="minor"/>
    </font>
    <font>
      <sz val="12"/>
      <color theme="1"/>
      <name val="Calibri"/>
      <family val="2"/>
      <charset val="204"/>
      <scheme val="minor"/>
    </font>
    <font>
      <sz val="11"/>
      <color rgb="FFFF0000"/>
      <name val="Calibri"/>
      <family val="2"/>
      <charset val="186"/>
      <scheme val="minor"/>
    </font>
    <font>
      <b/>
      <sz val="11"/>
      <color rgb="FFCC6600"/>
      <name val="Calibri"/>
      <family val="2"/>
      <scheme val="minor"/>
    </font>
    <font>
      <sz val="9"/>
      <color rgb="FF000000"/>
      <name val="Tahoma"/>
      <family val="2"/>
      <charset val="204"/>
    </font>
    <font>
      <sz val="9"/>
      <color rgb="FF000000"/>
      <name val="Tahoma"/>
      <family val="2"/>
      <charset val="186"/>
    </font>
    <font>
      <sz val="9"/>
      <color indexed="81"/>
      <name val="Segoe UI"/>
      <charset val="1"/>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s>
  <cellStyleXfs count="22">
    <xf numFmtId="0" fontId="0" fillId="0" borderId="0"/>
    <xf numFmtId="9" fontId="42" fillId="0" borderId="0" applyFont="0" applyFill="0" applyBorder="0" applyAlignment="0" applyProtection="0"/>
    <xf numFmtId="0" fontId="58" fillId="0" borderId="0" applyNumberFormat="0" applyFill="0" applyBorder="0" applyAlignment="0" applyProtection="0"/>
    <xf numFmtId="0" fontId="9" fillId="0" borderId="0"/>
    <xf numFmtId="9" fontId="9" fillId="0" borderId="0" applyFont="0" applyFill="0" applyBorder="0" applyAlignment="0" applyProtection="0"/>
    <xf numFmtId="0" fontId="9" fillId="0" borderId="0"/>
    <xf numFmtId="0" fontId="87" fillId="0" borderId="0"/>
    <xf numFmtId="9" fontId="87"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0" fontId="6"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2" fillId="0" borderId="0"/>
  </cellStyleXfs>
  <cellXfs count="884">
    <xf numFmtId="0" fontId="0" fillId="0" borderId="0" xfId="0"/>
    <xf numFmtId="0" fontId="0" fillId="0" borderId="0" xfId="0"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0" fillId="2" borderId="2" xfId="0" applyFill="1" applyBorder="1" applyAlignment="1">
      <alignment horizontal="center" vertical="center"/>
    </xf>
    <xf numFmtId="0" fontId="13" fillId="0" borderId="0" xfId="0" applyFont="1" applyAlignment="1">
      <alignment horizontal="left" vertical="center" indent="1"/>
    </xf>
    <xf numFmtId="167" fontId="13" fillId="0" borderId="0" xfId="0" applyNumberFormat="1" applyFont="1" applyAlignment="1">
      <alignment horizontal="center" vertical="center"/>
    </xf>
    <xf numFmtId="0" fontId="0" fillId="0" borderId="0" xfId="0" applyAlignment="1">
      <alignment horizontal="center" vertical="center" shrinkToFit="1"/>
    </xf>
    <xf numFmtId="0" fontId="13"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13" fillId="0" borderId="0" xfId="0" applyNumberFormat="1" applyFont="1" applyAlignment="1">
      <alignment horizontal="center" vertical="center" shrinkToFit="1"/>
    </xf>
    <xf numFmtId="167" fontId="13"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10" fillId="0" borderId="0" xfId="0" applyNumberFormat="1" applyFont="1" applyAlignment="1">
      <alignment horizontal="center" vertical="center" shrinkToFit="1"/>
    </xf>
    <xf numFmtId="167" fontId="10"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15" fillId="0" borderId="3"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2" xfId="0" applyFont="1" applyBorder="1" applyAlignment="1">
      <alignment horizontal="left" vertical="center" indent="1"/>
    </xf>
    <xf numFmtId="0" fontId="15"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23" fillId="0" borderId="0" xfId="0" applyFont="1" applyAlignment="1">
      <alignment horizontal="left" vertical="center" indent="2"/>
    </xf>
    <xf numFmtId="0" fontId="23" fillId="0" borderId="0" xfId="0" applyFont="1" applyAlignment="1">
      <alignment horizontal="center" vertical="center"/>
    </xf>
    <xf numFmtId="0" fontId="28" fillId="0" borderId="0" xfId="0" applyFont="1" applyAlignment="1">
      <alignment horizontal="left" vertical="center" indent="1"/>
    </xf>
    <xf numFmtId="0" fontId="29" fillId="0" borderId="0" xfId="0" applyFont="1" applyAlignment="1">
      <alignment horizontal="left" vertical="center" indent="1"/>
    </xf>
    <xf numFmtId="0" fontId="30" fillId="0" borderId="0" xfId="0" applyFont="1" applyAlignment="1">
      <alignment horizontal="left" vertical="center" indent="1" shrinkToFit="1"/>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0" fillId="0" borderId="0" xfId="0" applyFont="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left" vertical="center" indent="1" shrinkToFit="1"/>
    </xf>
    <xf numFmtId="0" fontId="32"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30"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10"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10" fillId="8" borderId="1" xfId="0" applyFont="1" applyFill="1" applyBorder="1" applyAlignment="1">
      <alignment horizontal="left" vertical="center" indent="1" shrinkToFit="1"/>
    </xf>
    <xf numFmtId="0" fontId="10" fillId="8" borderId="1" xfId="0" applyFont="1" applyFill="1" applyBorder="1" applyAlignment="1">
      <alignment horizontal="center" vertical="center" shrinkToFit="1"/>
    </xf>
    <xf numFmtId="167" fontId="10"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14" fillId="7" borderId="1" xfId="0" applyFont="1" applyFill="1" applyBorder="1" applyAlignment="1">
      <alignment horizontal="center" vertical="center" shrinkToFit="1"/>
    </xf>
    <xf numFmtId="167" fontId="13" fillId="7" borderId="1" xfId="0" applyNumberFormat="1" applyFont="1" applyFill="1" applyBorder="1" applyAlignment="1">
      <alignment horizontal="center" vertical="center" shrinkToFit="1"/>
    </xf>
    <xf numFmtId="167" fontId="10" fillId="7" borderId="1" xfId="0" applyNumberFormat="1" applyFont="1" applyFill="1" applyBorder="1" applyAlignment="1">
      <alignment horizontal="center" vertical="center" shrinkToFit="1"/>
    </xf>
    <xf numFmtId="0" fontId="34" fillId="0" borderId="0" xfId="0" applyFont="1" applyAlignment="1">
      <alignment horizontal="center" vertical="center"/>
    </xf>
    <xf numFmtId="0" fontId="34" fillId="0" borderId="0" xfId="0" applyFont="1" applyAlignment="1">
      <alignment horizontal="left" vertical="center" indent="1" shrinkToFit="1"/>
    </xf>
    <xf numFmtId="0" fontId="34" fillId="0" borderId="0" xfId="0" applyFont="1" applyAlignment="1">
      <alignment horizontal="center" vertical="center" shrinkToFit="1"/>
    </xf>
    <xf numFmtId="0" fontId="34" fillId="0" borderId="2" xfId="0" applyFont="1" applyBorder="1" applyAlignment="1">
      <alignment horizontal="center" vertical="top"/>
    </xf>
    <xf numFmtId="0" fontId="34" fillId="0" borderId="3" xfId="0" applyFont="1" applyBorder="1" applyAlignment="1">
      <alignment horizontal="left" vertical="top" shrinkToFit="1"/>
    </xf>
    <xf numFmtId="0" fontId="34" fillId="0" borderId="3" xfId="0" applyFont="1" applyBorder="1" applyAlignment="1">
      <alignment horizontal="center" vertical="top" shrinkToFit="1"/>
    </xf>
    <xf numFmtId="167" fontId="34" fillId="0" borderId="3" xfId="0" applyNumberFormat="1" applyFont="1" applyBorder="1" applyAlignment="1">
      <alignment horizontal="center" vertical="top" shrinkToFit="1"/>
    </xf>
    <xf numFmtId="167" fontId="34" fillId="0" borderId="0" xfId="0" applyNumberFormat="1" applyFont="1" applyAlignment="1">
      <alignment horizontal="center" vertical="top" shrinkToFit="1"/>
    </xf>
    <xf numFmtId="167" fontId="34" fillId="0" borderId="0" xfId="0" applyNumberFormat="1" applyFont="1" applyAlignment="1">
      <alignment horizontal="center" vertical="top"/>
    </xf>
    <xf numFmtId="0" fontId="34"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7"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10" fillId="2" borderId="4" xfId="0" applyNumberFormat="1" applyFont="1" applyFill="1" applyBorder="1" applyAlignment="1">
      <alignment horizontal="center" vertical="center" shrinkToFit="1"/>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36" fillId="0" borderId="2" xfId="0" applyFont="1" applyBorder="1" applyAlignment="1">
      <alignment horizontal="center" vertical="center"/>
    </xf>
    <xf numFmtId="0" fontId="38" fillId="0" borderId="1" xfId="0" applyFont="1" applyBorder="1" applyAlignment="1">
      <alignment horizontal="center" vertical="center"/>
    </xf>
    <xf numFmtId="0" fontId="36"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6" fillId="0" borderId="4" xfId="0" applyFont="1" applyBorder="1" applyAlignment="1">
      <alignment horizontal="left" vertical="center" indent="1"/>
    </xf>
    <xf numFmtId="0" fontId="36"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10"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10" fillId="2" borderId="4" xfId="0" applyNumberFormat="1" applyFont="1" applyFill="1" applyBorder="1" applyAlignment="1">
      <alignment horizontal="center" vertical="center" shrinkToFit="1"/>
    </xf>
    <xf numFmtId="166" fontId="13" fillId="2" borderId="4" xfId="0" applyNumberFormat="1" applyFont="1" applyFill="1" applyBorder="1" applyAlignment="1">
      <alignment horizontal="center" vertical="center" shrinkToFit="1"/>
    </xf>
    <xf numFmtId="166" fontId="13" fillId="10" borderId="1" xfId="0" applyNumberFormat="1" applyFont="1" applyFill="1" applyBorder="1" applyAlignment="1">
      <alignment horizontal="center" vertical="center" shrinkToFit="1"/>
    </xf>
    <xf numFmtId="0" fontId="35" fillId="0" borderId="0" xfId="0" applyFont="1" applyAlignment="1">
      <alignment horizontal="left" vertical="center" indent="1"/>
    </xf>
    <xf numFmtId="0" fontId="41" fillId="0" borderId="1" xfId="0" applyFont="1" applyBorder="1" applyAlignment="1">
      <alignment horizontal="center" vertical="center" wrapText="1"/>
    </xf>
    <xf numFmtId="168" fontId="37" fillId="0" borderId="0" xfId="0" applyNumberFormat="1"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44" fillId="0" borderId="0" xfId="0" applyFont="1" applyAlignment="1">
      <alignment horizontal="left" vertical="center"/>
    </xf>
    <xf numFmtId="9" fontId="45"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46" fillId="0" borderId="1" xfId="0" applyFont="1" applyBorder="1" applyAlignment="1">
      <alignment horizontal="left" vertical="center" indent="1"/>
    </xf>
    <xf numFmtId="0" fontId="10"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10"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43" fillId="0" borderId="0" xfId="0" applyFont="1" applyAlignment="1">
      <alignment horizontal="left" vertical="center" indent="1"/>
    </xf>
    <xf numFmtId="0" fontId="48" fillId="0" borderId="1" xfId="0" applyFont="1" applyBorder="1" applyAlignment="1">
      <alignment horizontal="left" vertical="center" indent="1"/>
    </xf>
    <xf numFmtId="0" fontId="48" fillId="0" borderId="1" xfId="0" applyFont="1" applyBorder="1" applyAlignment="1">
      <alignment horizontal="center" vertical="center"/>
    </xf>
    <xf numFmtId="170" fontId="34" fillId="0" borderId="0" xfId="0" applyNumberFormat="1" applyFont="1" applyAlignment="1">
      <alignment horizontal="center" vertical="center"/>
    </xf>
    <xf numFmtId="171" fontId="0" fillId="0" borderId="1" xfId="0" applyNumberFormat="1" applyBorder="1" applyAlignment="1">
      <alignment horizontal="center" vertical="center"/>
    </xf>
    <xf numFmtId="0" fontId="38" fillId="0" borderId="0" xfId="0" applyFont="1" applyAlignment="1">
      <alignment horizontal="left" vertical="center" indent="1"/>
    </xf>
    <xf numFmtId="0" fontId="37"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50" fillId="0" borderId="1" xfId="0" applyFont="1" applyBorder="1" applyAlignment="1">
      <alignment horizontal="left" vertical="center" wrapText="1" indent="1"/>
    </xf>
    <xf numFmtId="168" fontId="51" fillId="0" borderId="0" xfId="1" applyNumberFormat="1" applyFont="1" applyAlignment="1">
      <alignment horizontal="center" vertical="center"/>
    </xf>
    <xf numFmtId="168" fontId="51"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16" fillId="0" borderId="0" xfId="0" applyFont="1" applyAlignment="1" applyProtection="1">
      <alignment horizontal="left" vertical="center" indent="1"/>
      <protection locked="0"/>
    </xf>
    <xf numFmtId="0" fontId="19" fillId="0" borderId="0" xfId="0" applyFont="1" applyAlignment="1" applyProtection="1">
      <alignment horizontal="left" vertical="center" indent="1" shrinkToFit="1"/>
      <protection locked="0"/>
    </xf>
    <xf numFmtId="0" fontId="19" fillId="0" borderId="0" xfId="0" applyFont="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19" fillId="0" borderId="0" xfId="0" applyFont="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left" vertical="center" indent="1" shrinkToFit="1"/>
      <protection locked="0"/>
    </xf>
    <xf numFmtId="0" fontId="21"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15"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15"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3" borderId="1" xfId="0" applyFill="1" applyBorder="1" applyAlignment="1" applyProtection="1">
      <alignment horizontal="left" vertical="center" indent="1" shrinkToFit="1"/>
      <protection locked="0"/>
    </xf>
    <xf numFmtId="0" fontId="0" fillId="3" borderId="1"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10" fillId="3" borderId="1"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center" indent="1" shrinkToFit="1"/>
      <protection locked="0"/>
    </xf>
    <xf numFmtId="0" fontId="10" fillId="3" borderId="1"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167" fontId="13" fillId="4" borderId="1" xfId="0" applyNumberFormat="1" applyFont="1" applyFill="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13"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8" fontId="0" fillId="3" borderId="1" xfId="0" applyNumberFormat="1" applyFill="1" applyBorder="1" applyAlignment="1" applyProtection="1">
      <alignment horizontal="center" vertical="center" shrinkToFit="1"/>
      <protection locked="0"/>
    </xf>
    <xf numFmtId="0" fontId="10" fillId="4" borderId="1" xfId="0" applyFont="1" applyFill="1" applyBorder="1" applyAlignment="1" applyProtection="1">
      <alignment horizontal="center" vertical="center" shrinkToFit="1"/>
      <protection locked="0"/>
    </xf>
    <xf numFmtId="167" fontId="10"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10" fillId="0" borderId="0" xfId="0" applyNumberFormat="1" applyFont="1" applyAlignment="1" applyProtection="1">
      <alignment horizontal="center" vertical="center" shrinkToFit="1"/>
      <protection locked="0"/>
    </xf>
    <xf numFmtId="167"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4" borderId="1" xfId="0" applyFont="1" applyFill="1" applyBorder="1" applyAlignment="1" applyProtection="1">
      <alignment horizontal="center" vertical="center" shrinkToFit="1"/>
      <protection locked="0"/>
    </xf>
    <xf numFmtId="167" fontId="13" fillId="0" borderId="0" xfId="0" applyNumberFormat="1" applyFont="1" applyAlignment="1" applyProtection="1">
      <alignment horizontal="center" vertical="center" shrinkToFit="1"/>
      <protection locked="0"/>
    </xf>
    <xf numFmtId="167" fontId="13"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13" fillId="0" borderId="1" xfId="0" applyNumberFormat="1" applyFont="1" applyBorder="1" applyAlignment="1" applyProtection="1">
      <alignment horizontal="center" vertical="center" shrinkToFit="1"/>
      <protection locked="0"/>
    </xf>
    <xf numFmtId="0" fontId="22" fillId="0" borderId="0" xfId="0" applyFont="1" applyAlignment="1" applyProtection="1">
      <alignment horizontal="left" vertical="center" indent="1"/>
      <protection locked="0"/>
    </xf>
    <xf numFmtId="0" fontId="23" fillId="0" borderId="0" xfId="0" applyFont="1" applyAlignment="1" applyProtection="1">
      <alignment horizontal="left" vertical="center" indent="2"/>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indent="1"/>
      <protection locked="0"/>
    </xf>
    <xf numFmtId="0" fontId="23" fillId="0" borderId="0" xfId="0" applyFont="1" applyAlignment="1" applyProtection="1">
      <alignment horizontal="left" vertical="center" indent="1" shrinkToFit="1"/>
      <protection locked="0"/>
    </xf>
    <xf numFmtId="0" fontId="23" fillId="0" borderId="0" xfId="0" applyFont="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3" fillId="0" borderId="2" xfId="0" applyFont="1" applyBorder="1" applyAlignment="1" applyProtection="1">
      <alignment horizontal="center" vertical="center"/>
      <protection locked="0"/>
    </xf>
    <xf numFmtId="0" fontId="23" fillId="0" borderId="4" xfId="0" applyFont="1" applyBorder="1" applyAlignment="1" applyProtection="1">
      <alignment horizontal="left" vertical="center" indent="1" shrinkToFit="1"/>
      <protection locked="0"/>
    </xf>
    <xf numFmtId="0" fontId="26" fillId="0" borderId="1"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10" fillId="5" borderId="1" xfId="0" applyNumberFormat="1"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left" vertical="center" indent="1" shrinkToFit="1"/>
      <protection locked="0"/>
    </xf>
    <xf numFmtId="0" fontId="10" fillId="5" borderId="1" xfId="0" applyFont="1" applyFill="1" applyBorder="1" applyAlignment="1" applyProtection="1">
      <alignment horizontal="center" vertical="center" shrinkToFit="1"/>
      <protection locked="0"/>
    </xf>
    <xf numFmtId="0" fontId="23"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13"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10" fillId="6" borderId="1" xfId="0" applyFont="1" applyFill="1" applyBorder="1" applyAlignment="1" applyProtection="1">
      <alignment horizontal="center" vertical="center" shrinkToFit="1"/>
      <protection locked="0"/>
    </xf>
    <xf numFmtId="167" fontId="10" fillId="6" borderId="1" xfId="0" applyNumberFormat="1" applyFont="1" applyFill="1" applyBorder="1" applyAlignment="1" applyProtection="1">
      <alignment horizontal="center" vertical="center" shrinkToFit="1"/>
      <protection locked="0"/>
    </xf>
    <xf numFmtId="0" fontId="14" fillId="6" borderId="1" xfId="0" applyFont="1" applyFill="1" applyBorder="1" applyAlignment="1" applyProtection="1">
      <alignment horizontal="center" vertical="center" shrinkToFit="1"/>
      <protection locked="0"/>
    </xf>
    <xf numFmtId="0" fontId="52" fillId="0" borderId="0" xfId="0" applyFont="1" applyAlignment="1">
      <alignment horizontal="left" vertical="center" indent="1"/>
    </xf>
    <xf numFmtId="0" fontId="53" fillId="0" borderId="0" xfId="0" applyFont="1" applyAlignment="1">
      <alignment horizontal="left" vertical="center" indent="1"/>
    </xf>
    <xf numFmtId="0" fontId="54" fillId="0" borderId="1" xfId="0" applyFont="1" applyBorder="1" applyAlignment="1">
      <alignment horizontal="left" vertical="center" indent="1"/>
    </xf>
    <xf numFmtId="0" fontId="55" fillId="0" borderId="1" xfId="0" applyFont="1" applyBorder="1" applyAlignment="1">
      <alignment horizontal="left" vertical="center" indent="1"/>
    </xf>
    <xf numFmtId="0" fontId="54" fillId="0" borderId="1" xfId="0" applyFont="1" applyBorder="1" applyAlignment="1">
      <alignment horizontal="center" vertical="center"/>
    </xf>
    <xf numFmtId="0" fontId="54" fillId="0" borderId="0" xfId="0" applyFont="1" applyAlignment="1">
      <alignment horizontal="center" vertical="center"/>
    </xf>
    <xf numFmtId="0" fontId="54" fillId="0" borderId="0" xfId="0" applyFont="1" applyAlignment="1">
      <alignment vertical="center"/>
    </xf>
    <xf numFmtId="0" fontId="0" fillId="2" borderId="2" xfId="0" applyFill="1" applyBorder="1" applyAlignment="1">
      <alignment horizontal="left" vertical="center" indent="1"/>
    </xf>
    <xf numFmtId="0" fontId="53" fillId="2" borderId="3" xfId="0" applyFont="1" applyFill="1" applyBorder="1" applyAlignment="1">
      <alignment horizontal="left" vertical="center" indent="1"/>
    </xf>
    <xf numFmtId="0" fontId="10"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53"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53" fillId="2" borderId="3" xfId="0" applyFont="1" applyFill="1" applyBorder="1" applyAlignment="1">
      <alignment horizontal="center" vertical="center"/>
    </xf>
    <xf numFmtId="0" fontId="13" fillId="15" borderId="1" xfId="0" applyFont="1" applyFill="1" applyBorder="1" applyAlignment="1">
      <alignment horizontal="left" vertical="center" indent="1"/>
    </xf>
    <xf numFmtId="0" fontId="53" fillId="15" borderId="1" xfId="0" applyFont="1" applyFill="1" applyBorder="1" applyAlignment="1">
      <alignment horizontal="center" vertical="center"/>
    </xf>
    <xf numFmtId="167" fontId="13" fillId="15" borderId="1" xfId="0" applyNumberFormat="1" applyFont="1" applyFill="1" applyBorder="1" applyAlignment="1">
      <alignment horizontal="center" vertical="center" shrinkToFit="1"/>
    </xf>
    <xf numFmtId="0" fontId="13" fillId="0" borderId="0" xfId="0" applyFont="1" applyAlignment="1">
      <alignment vertical="center"/>
    </xf>
    <xf numFmtId="0" fontId="13" fillId="2" borderId="2" xfId="0" applyFont="1" applyFill="1" applyBorder="1" applyAlignment="1">
      <alignment horizontal="left" vertical="center" indent="1"/>
    </xf>
    <xf numFmtId="167" fontId="13" fillId="2" borderId="3" xfId="0" applyNumberFormat="1" applyFont="1" applyFill="1" applyBorder="1" applyAlignment="1">
      <alignment horizontal="center" vertical="center" shrinkToFit="1"/>
    </xf>
    <xf numFmtId="167" fontId="13"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53"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53"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53" fillId="2" borderId="1" xfId="0" applyFont="1" applyFill="1" applyBorder="1" applyAlignment="1">
      <alignment horizontal="center" vertical="center"/>
    </xf>
    <xf numFmtId="0" fontId="13" fillId="0" borderId="3" xfId="0" applyFont="1" applyBorder="1" applyAlignment="1">
      <alignment horizontal="left" vertical="center" indent="1"/>
    </xf>
    <xf numFmtId="167" fontId="13" fillId="0" borderId="3" xfId="0" applyNumberFormat="1" applyFont="1" applyBorder="1" applyAlignment="1">
      <alignment horizontal="center" vertical="center" shrinkToFit="1"/>
    </xf>
    <xf numFmtId="0" fontId="53" fillId="15" borderId="1" xfId="0" applyFont="1" applyFill="1" applyBorder="1" applyAlignment="1">
      <alignment horizontal="left" vertical="center" wrapText="1" indent="1"/>
    </xf>
    <xf numFmtId="167" fontId="53" fillId="15" borderId="1"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xf>
    <xf numFmtId="0" fontId="56" fillId="0" borderId="0" xfId="0" applyFont="1" applyAlignment="1">
      <alignment horizontal="left" vertical="center" indent="1"/>
    </xf>
    <xf numFmtId="167" fontId="56" fillId="0" borderId="0" xfId="0" applyNumberFormat="1" applyFont="1" applyAlignment="1">
      <alignment horizontal="center" vertical="center" shrinkToFit="1"/>
    </xf>
    <xf numFmtId="0" fontId="56" fillId="0" borderId="0" xfId="0" applyFont="1" applyAlignment="1">
      <alignment horizontal="center" vertical="center"/>
    </xf>
    <xf numFmtId="0" fontId="56"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7"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13" fillId="0" borderId="4" xfId="0" applyNumberFormat="1" applyFont="1" applyBorder="1" applyAlignment="1">
      <alignment horizontal="center" vertical="center" shrinkToFit="1"/>
    </xf>
    <xf numFmtId="0" fontId="57" fillId="0" borderId="0" xfId="0" applyFont="1" applyAlignment="1">
      <alignment vertical="center"/>
    </xf>
    <xf numFmtId="0" fontId="38" fillId="0" borderId="7" xfId="0" applyFont="1" applyBorder="1" applyAlignment="1">
      <alignment horizontal="center" vertical="center"/>
    </xf>
    <xf numFmtId="0" fontId="17" fillId="0" borderId="0" xfId="0" applyFont="1" applyAlignment="1">
      <alignment horizontal="left" vertical="center" indent="1"/>
    </xf>
    <xf numFmtId="0" fontId="0" fillId="0" borderId="0" xfId="0" applyAlignment="1">
      <alignment horizontal="center" vertical="center" wrapText="1"/>
    </xf>
    <xf numFmtId="0" fontId="19" fillId="0" borderId="1" xfId="0" applyFont="1" applyBorder="1" applyAlignment="1">
      <alignment horizontal="left" vertical="center" wrapText="1" indent="1"/>
    </xf>
    <xf numFmtId="0" fontId="19"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9" fillId="0" borderId="0" xfId="0" applyFont="1" applyAlignment="1">
      <alignment horizontal="left" vertical="center" indent="1"/>
    </xf>
    <xf numFmtId="0" fontId="19" fillId="0" borderId="12" xfId="0" applyFont="1" applyBorder="1" applyAlignment="1">
      <alignment horizontal="left" vertical="center" wrapText="1" indent="1"/>
    </xf>
    <xf numFmtId="0" fontId="13" fillId="17" borderId="1" xfId="0" applyFont="1" applyFill="1" applyBorder="1" applyAlignment="1">
      <alignment horizontal="left" vertical="center" wrapText="1" indent="1"/>
    </xf>
    <xf numFmtId="0" fontId="13"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13" fillId="17" borderId="1" xfId="0" applyNumberFormat="1" applyFont="1" applyFill="1" applyBorder="1" applyAlignment="1">
      <alignment horizontal="center" vertical="center"/>
    </xf>
    <xf numFmtId="0" fontId="59" fillId="0" borderId="0" xfId="0" applyFont="1" applyAlignment="1">
      <alignment horizontal="left" vertical="center" indent="1"/>
    </xf>
    <xf numFmtId="0" fontId="53" fillId="0" borderId="0" xfId="0" applyFont="1" applyAlignment="1">
      <alignment horizontal="left" vertical="center"/>
    </xf>
    <xf numFmtId="0" fontId="60" fillId="0" borderId="1" xfId="0" applyFont="1" applyBorder="1" applyAlignment="1">
      <alignment horizontal="center" vertical="center"/>
    </xf>
    <xf numFmtId="0" fontId="61" fillId="2" borderId="3" xfId="0" applyFont="1" applyFill="1" applyBorder="1" applyAlignment="1">
      <alignment horizontal="center" vertical="center"/>
    </xf>
    <xf numFmtId="0" fontId="61" fillId="2" borderId="4" xfId="0" applyFont="1" applyFill="1" applyBorder="1" applyAlignment="1">
      <alignment horizontal="center" vertical="center"/>
    </xf>
    <xf numFmtId="0" fontId="60" fillId="0" borderId="1" xfId="0" applyFont="1" applyBorder="1" applyAlignment="1">
      <alignment horizontal="left" vertical="center" indent="1"/>
    </xf>
    <xf numFmtId="0" fontId="62"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53"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13" fillId="19" borderId="1" xfId="0" applyFont="1" applyFill="1" applyBorder="1" applyAlignment="1">
      <alignment horizontal="left" vertical="center" indent="1"/>
    </xf>
    <xf numFmtId="0" fontId="53" fillId="19" borderId="1" xfId="0" applyFont="1" applyFill="1" applyBorder="1" applyAlignment="1">
      <alignment horizontal="center" vertical="center"/>
    </xf>
    <xf numFmtId="167" fontId="13"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9" fillId="0" borderId="0" xfId="0" applyFont="1" applyAlignment="1">
      <alignment horizontal="center" vertical="center"/>
    </xf>
    <xf numFmtId="0" fontId="45"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63" fillId="0" borderId="0" xfId="0" applyFont="1" applyAlignment="1">
      <alignment horizontal="left" vertical="center" wrapText="1" indent="1"/>
    </xf>
    <xf numFmtId="0" fontId="64" fillId="0" borderId="0" xfId="0" applyFont="1" applyAlignment="1">
      <alignment horizontal="left" vertical="center" wrapText="1" indent="1"/>
    </xf>
    <xf numFmtId="0" fontId="0" fillId="22" borderId="1" xfId="0" applyFill="1" applyBorder="1" applyAlignment="1">
      <alignment horizontal="left" vertical="center" wrapText="1" indent="1"/>
    </xf>
    <xf numFmtId="0" fontId="44" fillId="0" borderId="0" xfId="0" applyFont="1" applyAlignment="1">
      <alignment horizontal="left" vertical="center" indent="1"/>
    </xf>
    <xf numFmtId="0" fontId="65" fillId="0" borderId="0" xfId="0" applyFont="1" applyAlignment="1">
      <alignment vertical="center"/>
    </xf>
    <xf numFmtId="0" fontId="0" fillId="0" borderId="0" xfId="0" applyAlignment="1">
      <alignment horizontal="right" vertical="center" indent="1"/>
    </xf>
    <xf numFmtId="0" fontId="67" fillId="0" borderId="0" xfId="0" applyFont="1" applyAlignment="1">
      <alignment horizontal="center" vertical="center"/>
    </xf>
    <xf numFmtId="0" fontId="0" fillId="10" borderId="10" xfId="0" applyFill="1" applyBorder="1" applyAlignment="1">
      <alignment horizontal="center" vertical="center"/>
    </xf>
    <xf numFmtId="3" fontId="53" fillId="23" borderId="10" xfId="0" applyNumberFormat="1" applyFont="1" applyFill="1" applyBorder="1" applyAlignment="1">
      <alignment horizontal="center" vertical="center"/>
    </xf>
    <xf numFmtId="0" fontId="68" fillId="0" borderId="1" xfId="0" applyFont="1" applyBorder="1" applyAlignment="1">
      <alignment horizontal="left" vertical="center" indent="1"/>
    </xf>
    <xf numFmtId="0" fontId="65" fillId="0" borderId="1" xfId="0" applyFont="1" applyBorder="1" applyAlignment="1">
      <alignment horizontal="center" vertical="center"/>
    </xf>
    <xf numFmtId="0" fontId="68" fillId="10" borderId="1" xfId="0" applyFont="1" applyFill="1" applyBorder="1" applyAlignment="1">
      <alignment horizontal="center" vertical="center"/>
    </xf>
    <xf numFmtId="0" fontId="68" fillId="23" borderId="1" xfId="0" applyFont="1" applyFill="1" applyBorder="1" applyAlignment="1">
      <alignment horizontal="center" vertical="center"/>
    </xf>
    <xf numFmtId="0" fontId="68"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53"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70" fillId="2" borderId="1" xfId="0" applyNumberFormat="1" applyFont="1" applyFill="1" applyBorder="1" applyAlignment="1">
      <alignment horizontal="left" vertical="center" shrinkToFit="1"/>
    </xf>
    <xf numFmtId="167" fontId="50" fillId="2" borderId="1" xfId="0" applyNumberFormat="1" applyFont="1" applyFill="1" applyBorder="1" applyAlignment="1">
      <alignment horizontal="right" vertical="center" shrinkToFit="1"/>
    </xf>
    <xf numFmtId="167" fontId="50" fillId="0" borderId="0" xfId="0" applyNumberFormat="1" applyFont="1" applyAlignment="1">
      <alignment horizontal="right" vertical="center" shrinkToFit="1"/>
    </xf>
    <xf numFmtId="167" fontId="50" fillId="0" borderId="0" xfId="0" applyNumberFormat="1" applyFont="1" applyAlignment="1">
      <alignment horizontal="right" vertical="center"/>
    </xf>
    <xf numFmtId="167" fontId="15" fillId="2" borderId="1" xfId="0" applyNumberFormat="1" applyFont="1" applyFill="1" applyBorder="1" applyAlignment="1">
      <alignment horizontal="center" vertical="center" shrinkToFit="1"/>
    </xf>
    <xf numFmtId="167" fontId="50" fillId="0" borderId="1" xfId="0" applyNumberFormat="1" applyFont="1" applyBorder="1" applyAlignment="1">
      <alignment horizontal="center" vertical="center" shrinkToFit="1"/>
    </xf>
    <xf numFmtId="167" fontId="50" fillId="0" borderId="1" xfId="0" applyNumberFormat="1" applyFont="1" applyBorder="1" applyAlignment="1">
      <alignment vertical="center" shrinkToFit="1"/>
    </xf>
    <xf numFmtId="167" fontId="50" fillId="0" borderId="0" xfId="0" applyNumberFormat="1" applyFont="1" applyAlignment="1">
      <alignment vertical="center" shrinkToFit="1"/>
    </xf>
    <xf numFmtId="167" fontId="50" fillId="0" borderId="0" xfId="0" applyNumberFormat="1" applyFont="1" applyAlignment="1">
      <alignment vertical="center"/>
    </xf>
    <xf numFmtId="167" fontId="50" fillId="2" borderId="1" xfId="0" applyNumberFormat="1" applyFont="1" applyFill="1" applyBorder="1" applyAlignment="1">
      <alignment horizontal="center" vertical="center" shrinkToFit="1"/>
    </xf>
    <xf numFmtId="167" fontId="50" fillId="2" borderId="1" xfId="0" applyNumberFormat="1" applyFont="1" applyFill="1" applyBorder="1" applyAlignment="1">
      <alignment vertical="center" shrinkToFit="1"/>
    </xf>
    <xf numFmtId="167" fontId="50"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50" fillId="0" borderId="0" xfId="0" applyNumberFormat="1" applyFont="1" applyAlignment="1">
      <alignment horizontal="left" vertical="center" indent="1"/>
    </xf>
    <xf numFmtId="167" fontId="50"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53" fillId="22" borderId="1" xfId="0" applyFont="1" applyFill="1" applyBorder="1" applyAlignment="1">
      <alignment horizontal="center" vertical="center"/>
    </xf>
    <xf numFmtId="0" fontId="71" fillId="0" borderId="0" xfId="0" applyFont="1" applyAlignment="1">
      <alignment vertical="center"/>
    </xf>
    <xf numFmtId="0" fontId="50" fillId="0" borderId="1" xfId="0" applyFont="1" applyBorder="1" applyAlignment="1">
      <alignment vertical="top" wrapText="1"/>
    </xf>
    <xf numFmtId="0" fontId="50" fillId="0" borderId="1" xfId="0" applyFont="1" applyBorder="1" applyAlignment="1">
      <alignment wrapText="1"/>
    </xf>
    <xf numFmtId="0" fontId="72" fillId="0" borderId="1" xfId="0" applyFont="1" applyBorder="1" applyAlignment="1">
      <alignment horizontal="left" vertical="center" wrapText="1" indent="1"/>
    </xf>
    <xf numFmtId="0" fontId="75" fillId="0" borderId="0" xfId="3" applyFont="1"/>
    <xf numFmtId="0" fontId="9" fillId="0" borderId="0" xfId="3"/>
    <xf numFmtId="9" fontId="9" fillId="0" borderId="0" xfId="3" applyNumberFormat="1"/>
    <xf numFmtId="9" fontId="0" fillId="0" borderId="0" xfId="4" applyFont="1"/>
    <xf numFmtId="0" fontId="9" fillId="0" borderId="0" xfId="3" applyAlignment="1">
      <alignment horizontal="left" indent="2"/>
    </xf>
    <xf numFmtId="0" fontId="76" fillId="0" borderId="0" xfId="3" applyFont="1"/>
    <xf numFmtId="2" fontId="9" fillId="0" borderId="0" xfId="3" applyNumberFormat="1"/>
    <xf numFmtId="0" fontId="9" fillId="0" borderId="0" xfId="3" applyAlignment="1">
      <alignment wrapText="1"/>
    </xf>
    <xf numFmtId="3" fontId="9" fillId="0" borderId="0" xfId="3" applyNumberFormat="1"/>
    <xf numFmtId="0" fontId="76" fillId="0" borderId="0" xfId="3" applyFont="1" applyAlignment="1">
      <alignment horizontal="right"/>
    </xf>
    <xf numFmtId="3" fontId="76" fillId="0" borderId="0" xfId="3" applyNumberFormat="1" applyFont="1"/>
    <xf numFmtId="0" fontId="85" fillId="0" borderId="0" xfId="5" applyFont="1"/>
    <xf numFmtId="0" fontId="86" fillId="0" borderId="0" xfId="5" applyFont="1"/>
    <xf numFmtId="0" fontId="85" fillId="0" borderId="2" xfId="5" applyFont="1" applyBorder="1"/>
    <xf numFmtId="0" fontId="85" fillId="0" borderId="3" xfId="5" applyFont="1" applyBorder="1"/>
    <xf numFmtId="0" fontId="85" fillId="0" borderId="1" xfId="5" applyFont="1" applyBorder="1"/>
    <xf numFmtId="0" fontId="87" fillId="0" borderId="0" xfId="6"/>
    <xf numFmtId="0" fontId="88" fillId="0" borderId="1" xfId="6" applyFont="1" applyBorder="1" applyAlignment="1">
      <alignment horizontal="center"/>
    </xf>
    <xf numFmtId="0" fontId="85" fillId="29" borderId="1" xfId="5" applyFont="1" applyFill="1" applyBorder="1"/>
    <xf numFmtId="0" fontId="85" fillId="29" borderId="1" xfId="5" applyFont="1" applyFill="1" applyBorder="1" applyAlignment="1">
      <alignment horizontal="center"/>
    </xf>
    <xf numFmtId="0" fontId="88" fillId="29" borderId="1" xfId="6" applyFont="1" applyFill="1" applyBorder="1"/>
    <xf numFmtId="0" fontId="85" fillId="0" borderId="1" xfId="5" applyFont="1" applyBorder="1" applyAlignment="1">
      <alignment horizontal="center"/>
    </xf>
    <xf numFmtId="174" fontId="85" fillId="0" borderId="1" xfId="5" applyNumberFormat="1" applyFont="1" applyBorder="1"/>
    <xf numFmtId="1" fontId="85" fillId="0" borderId="1" xfId="5" applyNumberFormat="1" applyFont="1" applyBorder="1"/>
    <xf numFmtId="3" fontId="85" fillId="0" borderId="1" xfId="5" applyNumberFormat="1" applyFont="1" applyBorder="1"/>
    <xf numFmtId="176" fontId="85" fillId="0" borderId="1" xfId="5" applyNumberFormat="1" applyFont="1" applyBorder="1"/>
    <xf numFmtId="177" fontId="85" fillId="0" borderId="1" xfId="5" applyNumberFormat="1" applyFont="1" applyBorder="1"/>
    <xf numFmtId="3" fontId="85" fillId="3" borderId="1" xfId="5" applyNumberFormat="1" applyFont="1" applyFill="1" applyBorder="1"/>
    <xf numFmtId="1" fontId="85" fillId="3" borderId="1" xfId="5" applyNumberFormat="1" applyFont="1" applyFill="1" applyBorder="1"/>
    <xf numFmtId="176" fontId="85" fillId="3" borderId="1" xfId="5" applyNumberFormat="1" applyFont="1" applyFill="1" applyBorder="1"/>
    <xf numFmtId="176" fontId="85" fillId="0" borderId="0" xfId="5" applyNumberFormat="1" applyFont="1"/>
    <xf numFmtId="3" fontId="85" fillId="0" borderId="0" xfId="5" applyNumberFormat="1" applyFont="1"/>
    <xf numFmtId="1" fontId="85" fillId="0" borderId="0" xfId="5" applyNumberFormat="1" applyFont="1"/>
    <xf numFmtId="178" fontId="85" fillId="0" borderId="1" xfId="5" applyNumberFormat="1" applyFont="1" applyBorder="1"/>
    <xf numFmtId="177" fontId="85" fillId="0" borderId="0" xfId="5" applyNumberFormat="1" applyFont="1"/>
    <xf numFmtId="178" fontId="85" fillId="0" borderId="0" xfId="5" applyNumberFormat="1" applyFont="1"/>
    <xf numFmtId="2" fontId="88" fillId="0" borderId="1" xfId="6" applyNumberFormat="1" applyFont="1" applyBorder="1" applyAlignment="1">
      <alignment horizontal="center"/>
    </xf>
    <xf numFmtId="2" fontId="88" fillId="0" borderId="0" xfId="6" applyNumberFormat="1" applyFont="1" applyAlignment="1">
      <alignment horizontal="center"/>
    </xf>
    <xf numFmtId="0" fontId="90" fillId="0" borderId="0" xfId="6" applyFont="1"/>
    <xf numFmtId="0" fontId="85" fillId="0" borderId="0" xfId="5" applyFont="1" applyAlignment="1">
      <alignment horizontal="left"/>
    </xf>
    <xf numFmtId="178" fontId="85" fillId="3" borderId="1" xfId="5" applyNumberFormat="1" applyFont="1" applyFill="1" applyBorder="1"/>
    <xf numFmtId="178" fontId="85" fillId="3" borderId="16" xfId="5" applyNumberFormat="1" applyFont="1" applyFill="1" applyBorder="1"/>
    <xf numFmtId="0" fontId="85" fillId="30" borderId="0" xfId="5" applyFont="1" applyFill="1"/>
    <xf numFmtId="0" fontId="90" fillId="30" borderId="0" xfId="6" applyFont="1" applyFill="1" applyAlignment="1">
      <alignment wrapText="1"/>
    </xf>
    <xf numFmtId="0" fontId="90" fillId="3" borderId="28" xfId="6" applyFont="1" applyFill="1" applyBorder="1"/>
    <xf numFmtId="2" fontId="90" fillId="30" borderId="0" xfId="6" applyNumberFormat="1" applyFont="1" applyFill="1"/>
    <xf numFmtId="1" fontId="91" fillId="30" borderId="0" xfId="6" applyNumberFormat="1" applyFont="1" applyFill="1"/>
    <xf numFmtId="0" fontId="90" fillId="3" borderId="31" xfId="6" applyFont="1" applyFill="1" applyBorder="1"/>
    <xf numFmtId="0" fontId="90" fillId="30" borderId="0" xfId="6" applyFont="1" applyFill="1"/>
    <xf numFmtId="9" fontId="90" fillId="3" borderId="30" xfId="7" applyFont="1" applyFill="1" applyBorder="1"/>
    <xf numFmtId="3" fontId="90" fillId="3" borderId="34" xfId="6" applyNumberFormat="1" applyFont="1" applyFill="1" applyBorder="1"/>
    <xf numFmtId="0" fontId="90" fillId="3" borderId="35" xfId="6" applyFont="1" applyFill="1" applyBorder="1"/>
    <xf numFmtId="3" fontId="90" fillId="30" borderId="0" xfId="6" applyNumberFormat="1" applyFont="1" applyFill="1"/>
    <xf numFmtId="0" fontId="85" fillId="0" borderId="16" xfId="5" applyFont="1" applyBorder="1" applyAlignment="1">
      <alignment wrapText="1"/>
    </xf>
    <xf numFmtId="177" fontId="86" fillId="0" borderId="36" xfId="5" applyNumberFormat="1" applyFont="1" applyBorder="1"/>
    <xf numFmtId="0" fontId="85" fillId="0" borderId="37" xfId="5" applyFont="1" applyBorder="1"/>
    <xf numFmtId="177" fontId="86" fillId="0" borderId="0" xfId="5" applyNumberFormat="1" applyFont="1"/>
    <xf numFmtId="2" fontId="88" fillId="0" borderId="0" xfId="7" applyNumberFormat="1" applyFont="1" applyBorder="1" applyAlignment="1">
      <alignment horizontal="center"/>
    </xf>
    <xf numFmtId="0" fontId="85" fillId="0" borderId="38" xfId="5" applyFont="1" applyBorder="1" applyAlignment="1">
      <alignment wrapText="1"/>
    </xf>
    <xf numFmtId="177" fontId="86" fillId="0" borderId="39" xfId="5" applyNumberFormat="1" applyFont="1" applyBorder="1"/>
    <xf numFmtId="0" fontId="85" fillId="0" borderId="40" xfId="5" applyFont="1" applyBorder="1"/>
    <xf numFmtId="0" fontId="85" fillId="0" borderId="41" xfId="5" applyFont="1" applyBorder="1" applyAlignment="1">
      <alignment wrapText="1"/>
    </xf>
    <xf numFmtId="177" fontId="86" fillId="25" borderId="42" xfId="5" applyNumberFormat="1" applyFont="1" applyFill="1" applyBorder="1"/>
    <xf numFmtId="0" fontId="85" fillId="0" borderId="43" xfId="5" applyFont="1" applyBorder="1"/>
    <xf numFmtId="3" fontId="86" fillId="0" borderId="42" xfId="5" applyNumberFormat="1" applyFont="1" applyBorder="1"/>
    <xf numFmtId="180" fontId="86" fillId="0" borderId="0" xfId="5" applyNumberFormat="1" applyFont="1"/>
    <xf numFmtId="0" fontId="85" fillId="0" borderId="17" xfId="5" applyFont="1" applyBorder="1" applyAlignment="1">
      <alignment wrapText="1"/>
    </xf>
    <xf numFmtId="3" fontId="86" fillId="0" borderId="44" xfId="5" applyNumberFormat="1" applyFont="1" applyBorder="1"/>
    <xf numFmtId="0" fontId="85" fillId="0" borderId="45" xfId="5" applyFont="1" applyBorder="1"/>
    <xf numFmtId="3" fontId="86" fillId="0" borderId="0" xfId="5" applyNumberFormat="1" applyFont="1"/>
    <xf numFmtId="0" fontId="89" fillId="0" borderId="0" xfId="6" applyFont="1" applyAlignment="1">
      <alignment wrapText="1"/>
    </xf>
    <xf numFmtId="0" fontId="89" fillId="0" borderId="0" xfId="6" applyFont="1"/>
    <xf numFmtId="0" fontId="92" fillId="29" borderId="1" xfId="5" applyFont="1" applyFill="1" applyBorder="1"/>
    <xf numFmtId="0" fontId="94" fillId="0" borderId="1" xfId="5" applyFont="1" applyBorder="1"/>
    <xf numFmtId="0" fontId="93" fillId="0" borderId="1" xfId="5" applyFont="1" applyBorder="1"/>
    <xf numFmtId="0" fontId="92" fillId="0" borderId="1" xfId="5" applyFont="1" applyBorder="1"/>
    <xf numFmtId="0" fontId="92" fillId="0" borderId="1" xfId="5" applyFont="1" applyBorder="1" applyAlignment="1">
      <alignment horizontal="left" indent="1"/>
    </xf>
    <xf numFmtId="1" fontId="92" fillId="30" borderId="1" xfId="5" applyNumberFormat="1" applyFont="1" applyFill="1" applyBorder="1"/>
    <xf numFmtId="174" fontId="92" fillId="30" borderId="1" xfId="5" applyNumberFormat="1" applyFont="1" applyFill="1" applyBorder="1"/>
    <xf numFmtId="3" fontId="92" fillId="0" borderId="1" xfId="5" applyNumberFormat="1" applyFont="1" applyBorder="1"/>
    <xf numFmtId="0" fontId="93" fillId="0" borderId="1" xfId="5" applyFont="1" applyBorder="1" applyAlignment="1">
      <alignment wrapText="1"/>
    </xf>
    <xf numFmtId="175" fontId="92" fillId="0" borderId="1" xfId="5" applyNumberFormat="1" applyFont="1" applyBorder="1"/>
    <xf numFmtId="176" fontId="92" fillId="0" borderId="1" xfId="5" applyNumberFormat="1" applyFont="1" applyBorder="1"/>
    <xf numFmtId="9" fontId="92" fillId="0" borderId="1" xfId="5" applyNumberFormat="1" applyFont="1" applyBorder="1"/>
    <xf numFmtId="1" fontId="92" fillId="0" borderId="1" xfId="5" applyNumberFormat="1" applyFont="1" applyBorder="1"/>
    <xf numFmtId="168" fontId="92" fillId="0" borderId="1" xfId="5" applyNumberFormat="1" applyFont="1" applyBorder="1"/>
    <xf numFmtId="177" fontId="92" fillId="0" borderId="1" xfId="5" applyNumberFormat="1" applyFont="1" applyBorder="1"/>
    <xf numFmtId="0" fontId="92" fillId="0" borderId="1" xfId="5" applyFont="1" applyBorder="1" applyAlignment="1">
      <alignment horizontal="left" indent="3"/>
    </xf>
    <xf numFmtId="10" fontId="92" fillId="0" borderId="1" xfId="5" applyNumberFormat="1" applyFont="1" applyBorder="1" applyAlignment="1">
      <alignment horizontal="right"/>
    </xf>
    <xf numFmtId="10" fontId="92" fillId="0" borderId="1" xfId="5" applyNumberFormat="1" applyFont="1" applyBorder="1" applyAlignment="1">
      <alignment horizontal="left" indent="3"/>
    </xf>
    <xf numFmtId="0" fontId="92" fillId="0" borderId="1" xfId="5" applyFont="1" applyBorder="1" applyAlignment="1">
      <alignment wrapText="1"/>
    </xf>
    <xf numFmtId="0" fontId="92" fillId="0" borderId="1" xfId="5" applyFont="1" applyBorder="1" applyAlignment="1">
      <alignment horizontal="left" wrapText="1" indent="1"/>
    </xf>
    <xf numFmtId="0" fontId="95" fillId="3" borderId="1" xfId="5" applyFont="1" applyFill="1" applyBorder="1" applyAlignment="1">
      <alignment wrapText="1"/>
    </xf>
    <xf numFmtId="0" fontId="93" fillId="3" borderId="1" xfId="5" applyFont="1" applyFill="1" applyBorder="1"/>
    <xf numFmtId="177" fontId="92" fillId="3" borderId="1" xfId="5" applyNumberFormat="1" applyFont="1" applyFill="1" applyBorder="1"/>
    <xf numFmtId="0" fontId="92" fillId="3" borderId="1" xfId="5" applyFont="1" applyFill="1" applyBorder="1" applyAlignment="1">
      <alignment horizontal="left" wrapText="1" indent="2"/>
    </xf>
    <xf numFmtId="0" fontId="92" fillId="3" borderId="1" xfId="5" applyFont="1" applyFill="1" applyBorder="1" applyAlignment="1">
      <alignment horizontal="left" wrapText="1" indent="4"/>
    </xf>
    <xf numFmtId="0" fontId="95" fillId="3" borderId="1" xfId="5" applyFont="1" applyFill="1" applyBorder="1"/>
    <xf numFmtId="3" fontId="92" fillId="3" borderId="1" xfId="5" applyNumberFormat="1" applyFont="1" applyFill="1" applyBorder="1"/>
    <xf numFmtId="0" fontId="92" fillId="3" borderId="1" xfId="5" applyFont="1" applyFill="1" applyBorder="1" applyAlignment="1">
      <alignment horizontal="left" indent="1"/>
    </xf>
    <xf numFmtId="1" fontId="92" fillId="3" borderId="1" xfId="5" applyNumberFormat="1" applyFont="1" applyFill="1" applyBorder="1"/>
    <xf numFmtId="0" fontId="92" fillId="3" borderId="1" xfId="5" applyFont="1" applyFill="1" applyBorder="1"/>
    <xf numFmtId="176" fontId="92" fillId="3" borderId="1" xfId="5" applyNumberFormat="1" applyFont="1" applyFill="1" applyBorder="1"/>
    <xf numFmtId="0" fontId="93" fillId="3" borderId="1" xfId="5" applyFont="1" applyFill="1" applyBorder="1" applyAlignment="1">
      <alignment wrapText="1"/>
    </xf>
    <xf numFmtId="0" fontId="92" fillId="0" borderId="0" xfId="5" applyFont="1" applyAlignment="1">
      <alignment horizontal="left" indent="1"/>
    </xf>
    <xf numFmtId="0" fontId="92" fillId="0" borderId="0" xfId="5" applyFont="1"/>
    <xf numFmtId="0" fontId="93" fillId="0" borderId="0" xfId="5" applyFont="1"/>
    <xf numFmtId="3" fontId="92" fillId="0" borderId="0" xfId="5" applyNumberFormat="1" applyFont="1"/>
    <xf numFmtId="0" fontId="95" fillId="0" borderId="0" xfId="5" applyFont="1"/>
    <xf numFmtId="0" fontId="92" fillId="0" borderId="2" xfId="5" applyFont="1" applyBorder="1"/>
    <xf numFmtId="178" fontId="92" fillId="0" borderId="1" xfId="5" applyNumberFormat="1" applyFont="1" applyBorder="1"/>
    <xf numFmtId="177" fontId="92" fillId="0" borderId="0" xfId="5" applyNumberFormat="1" applyFont="1"/>
    <xf numFmtId="178" fontId="92" fillId="0" borderId="0" xfId="5" applyNumberFormat="1" applyFont="1"/>
    <xf numFmtId="0" fontId="90" fillId="0" borderId="1" xfId="6" applyFont="1" applyBorder="1" applyAlignment="1">
      <alignment wrapText="1"/>
    </xf>
    <xf numFmtId="9" fontId="93" fillId="0" borderId="0" xfId="5" applyNumberFormat="1" applyFont="1"/>
    <xf numFmtId="0" fontId="90" fillId="0" borderId="0" xfId="6" applyFont="1" applyAlignment="1">
      <alignment wrapText="1"/>
    </xf>
    <xf numFmtId="0" fontId="88" fillId="0" borderId="0" xfId="6" applyFont="1" applyAlignment="1">
      <alignment horizontal="center"/>
    </xf>
    <xf numFmtId="0" fontId="90" fillId="3" borderId="1" xfId="6" applyFont="1" applyFill="1" applyBorder="1" applyAlignment="1">
      <alignment wrapText="1"/>
    </xf>
    <xf numFmtId="178" fontId="92" fillId="3" borderId="1" xfId="5" applyNumberFormat="1" applyFont="1" applyFill="1" applyBorder="1"/>
    <xf numFmtId="0" fontId="92" fillId="30" borderId="0" xfId="5" applyFont="1" applyFill="1"/>
    <xf numFmtId="0" fontId="93" fillId="30" borderId="0" xfId="5" applyFont="1" applyFill="1"/>
    <xf numFmtId="179" fontId="92" fillId="3" borderId="27" xfId="5" applyNumberFormat="1" applyFont="1" applyFill="1" applyBorder="1"/>
    <xf numFmtId="0" fontId="92" fillId="0" borderId="1" xfId="5" applyFont="1" applyBorder="1" applyAlignment="1">
      <alignment horizontal="left" indent="2"/>
    </xf>
    <xf numFmtId="0" fontId="0" fillId="0" borderId="1" xfId="0" applyBorder="1" applyAlignment="1">
      <alignment horizontal="center" vertical="top" wrapText="1"/>
    </xf>
    <xf numFmtId="0" fontId="0" fillId="0" borderId="1" xfId="0" applyBorder="1"/>
    <xf numFmtId="9" fontId="0" fillId="0" borderId="0" xfId="1" applyFont="1" applyBorder="1"/>
    <xf numFmtId="9" fontId="0" fillId="0" borderId="0" xfId="1" applyFont="1"/>
    <xf numFmtId="0" fontId="75" fillId="0" borderId="0" xfId="0" applyFont="1"/>
    <xf numFmtId="1" fontId="0" fillId="0" borderId="0" xfId="0" applyNumberFormat="1"/>
    <xf numFmtId="0" fontId="74" fillId="0" borderId="1" xfId="0" applyFont="1" applyBorder="1"/>
    <xf numFmtId="3" fontId="74" fillId="0" borderId="1" xfId="0" applyNumberFormat="1" applyFont="1" applyBorder="1"/>
    <xf numFmtId="1" fontId="74" fillId="0" borderId="1" xfId="0" applyNumberFormat="1" applyFont="1" applyBorder="1"/>
    <xf numFmtId="3" fontId="0" fillId="0" borderId="1" xfId="0" applyNumberFormat="1" applyBorder="1"/>
    <xf numFmtId="3" fontId="0" fillId="0" borderId="0" xfId="0" applyNumberFormat="1"/>
    <xf numFmtId="0" fontId="0" fillId="0" borderId="0" xfId="0" applyAlignment="1">
      <alignment horizontal="center" vertical="top" wrapText="1"/>
    </xf>
    <xf numFmtId="9" fontId="0" fillId="0" borderId="0" xfId="1" applyFont="1" applyFill="1" applyBorder="1"/>
    <xf numFmtId="3" fontId="75" fillId="0" borderId="1" xfId="0" applyNumberFormat="1" applyFont="1" applyBorder="1"/>
    <xf numFmtId="9" fontId="75" fillId="0" borderId="0" xfId="1" applyFont="1" applyFill="1" applyBorder="1"/>
    <xf numFmtId="0" fontId="0" fillId="28" borderId="3" xfId="0" applyFill="1" applyBorder="1"/>
    <xf numFmtId="3" fontId="75" fillId="28" borderId="1" xfId="0" applyNumberFormat="1" applyFont="1" applyFill="1" applyBorder="1"/>
    <xf numFmtId="0" fontId="0" fillId="28" borderId="1" xfId="0" applyFill="1" applyBorder="1"/>
    <xf numFmtId="3" fontId="0" fillId="0" borderId="1" xfId="0" applyNumberFormat="1" applyBorder="1" applyAlignment="1">
      <alignment wrapText="1"/>
    </xf>
    <xf numFmtId="9" fontId="0" fillId="0" borderId="0" xfId="1" applyFont="1" applyFill="1"/>
    <xf numFmtId="3" fontId="74" fillId="0" borderId="1" xfId="0" applyNumberFormat="1" applyFont="1" applyBorder="1" applyAlignment="1">
      <alignment wrapText="1"/>
    </xf>
    <xf numFmtId="3" fontId="82" fillId="0" borderId="1" xfId="0" applyNumberFormat="1" applyFont="1" applyBorder="1" applyAlignment="1">
      <alignment wrapText="1"/>
    </xf>
    <xf numFmtId="3" fontId="84" fillId="0" borderId="1" xfId="0" applyNumberFormat="1" applyFont="1" applyBorder="1" applyAlignment="1">
      <alignment wrapText="1"/>
    </xf>
    <xf numFmtId="3" fontId="83" fillId="0" borderId="1" xfId="0" applyNumberFormat="1" applyFont="1" applyBorder="1" applyAlignment="1">
      <alignment wrapText="1"/>
    </xf>
    <xf numFmtId="168" fontId="0" fillId="0" borderId="0" xfId="1" applyNumberFormat="1" applyFont="1" applyFill="1"/>
    <xf numFmtId="3" fontId="77" fillId="0" borderId="1" xfId="0" applyNumberFormat="1" applyFont="1" applyBorder="1"/>
    <xf numFmtId="0" fontId="77" fillId="0" borderId="1" xfId="0" applyFont="1" applyBorder="1"/>
    <xf numFmtId="1" fontId="77" fillId="0" borderId="1" xfId="0" applyNumberFormat="1" applyFont="1" applyBorder="1"/>
    <xf numFmtId="3" fontId="77" fillId="0" borderId="1" xfId="0" applyNumberFormat="1" applyFont="1" applyBorder="1" applyAlignment="1">
      <alignment wrapText="1"/>
    </xf>
    <xf numFmtId="3" fontId="81" fillId="0" borderId="1" xfId="0" applyNumberFormat="1" applyFont="1" applyBorder="1" applyAlignment="1">
      <alignment wrapText="1"/>
    </xf>
    <xf numFmtId="0" fontId="76" fillId="0" borderId="12" xfId="0" applyFont="1" applyBorder="1" applyAlignment="1">
      <alignment horizontal="right"/>
    </xf>
    <xf numFmtId="0" fontId="76" fillId="0" borderId="12" xfId="0" applyFont="1" applyBorder="1"/>
    <xf numFmtId="3" fontId="76" fillId="0" borderId="12" xfId="0" applyNumberFormat="1" applyFont="1" applyBorder="1"/>
    <xf numFmtId="0" fontId="85" fillId="0" borderId="0" xfId="8" applyFont="1"/>
    <xf numFmtId="9" fontId="85" fillId="0" borderId="1" xfId="9" applyFont="1" applyBorder="1"/>
    <xf numFmtId="9" fontId="85" fillId="0" borderId="0" xfId="9" applyFont="1" applyFill="1"/>
    <xf numFmtId="0" fontId="96" fillId="0" borderId="0" xfId="0" applyFont="1"/>
    <xf numFmtId="0" fontId="85" fillId="0" borderId="0" xfId="0" applyFont="1"/>
    <xf numFmtId="0" fontId="85" fillId="29" borderId="1" xfId="0" applyFont="1" applyFill="1" applyBorder="1"/>
    <xf numFmtId="0" fontId="85" fillId="29" borderId="2" xfId="0" applyFont="1" applyFill="1" applyBorder="1" applyAlignment="1">
      <alignment horizontal="center" vertical="top"/>
    </xf>
    <xf numFmtId="0" fontId="85" fillId="29" borderId="4" xfId="0" applyFont="1" applyFill="1" applyBorder="1" applyAlignment="1">
      <alignment horizontal="center" vertical="top"/>
    </xf>
    <xf numFmtId="0" fontId="85" fillId="29" borderId="1" xfId="0" applyFont="1" applyFill="1" applyBorder="1" applyAlignment="1">
      <alignment horizontal="center" vertical="top" wrapText="1"/>
    </xf>
    <xf numFmtId="0" fontId="96" fillId="27" borderId="1" xfId="0" applyFont="1" applyFill="1" applyBorder="1"/>
    <xf numFmtId="0" fontId="85" fillId="27" borderId="2" xfId="0" applyFont="1" applyFill="1" applyBorder="1"/>
    <xf numFmtId="0" fontId="85" fillId="27" borderId="4" xfId="0" applyFont="1" applyFill="1" applyBorder="1"/>
    <xf numFmtId="0" fontId="85" fillId="27" borderId="1" xfId="0" applyFont="1" applyFill="1" applyBorder="1"/>
    <xf numFmtId="0" fontId="85" fillId="0" borderId="1" xfId="0" applyFont="1" applyBorder="1"/>
    <xf numFmtId="0" fontId="85" fillId="0" borderId="2" xfId="0" applyFont="1" applyBorder="1"/>
    <xf numFmtId="0" fontId="85" fillId="0" borderId="4" xfId="0" applyFont="1" applyBorder="1"/>
    <xf numFmtId="3" fontId="85" fillId="0" borderId="2" xfId="0" applyNumberFormat="1" applyFont="1" applyBorder="1"/>
    <xf numFmtId="3" fontId="85" fillId="0" borderId="4" xfId="0" applyNumberFormat="1" applyFont="1" applyBorder="1"/>
    <xf numFmtId="1" fontId="85" fillId="0" borderId="0" xfId="0" applyNumberFormat="1" applyFont="1"/>
    <xf numFmtId="0" fontId="85" fillId="0" borderId="1" xfId="0" applyFont="1" applyBorder="1" applyAlignment="1">
      <alignment wrapText="1"/>
    </xf>
    <xf numFmtId="0" fontId="97" fillId="0" borderId="1" xfId="0" applyFont="1" applyBorder="1"/>
    <xf numFmtId="3" fontId="97" fillId="0" borderId="2" xfId="0" applyNumberFormat="1" applyFont="1" applyBorder="1"/>
    <xf numFmtId="3" fontId="97" fillId="0" borderId="4" xfId="0" applyNumberFormat="1" applyFont="1" applyBorder="1"/>
    <xf numFmtId="0" fontId="85" fillId="27" borderId="1" xfId="0" applyFont="1" applyFill="1" applyBorder="1" applyAlignment="1">
      <alignment horizontal="center" vertical="top" wrapText="1"/>
    </xf>
    <xf numFmtId="0" fontId="85" fillId="0" borderId="0" xfId="0" applyFont="1" applyAlignment="1">
      <alignment horizontal="center" vertical="top" wrapText="1"/>
    </xf>
    <xf numFmtId="0" fontId="96" fillId="0" borderId="1" xfId="0" applyFont="1" applyBorder="1"/>
    <xf numFmtId="3" fontId="85" fillId="0" borderId="0" xfId="0" applyNumberFormat="1" applyFont="1"/>
    <xf numFmtId="0" fontId="96" fillId="28" borderId="1" xfId="0" applyFont="1" applyFill="1" applyBorder="1"/>
    <xf numFmtId="3" fontId="96" fillId="28" borderId="2" xfId="0" applyNumberFormat="1" applyFont="1" applyFill="1" applyBorder="1"/>
    <xf numFmtId="3" fontId="96" fillId="28" borderId="4" xfId="0" applyNumberFormat="1" applyFont="1" applyFill="1" applyBorder="1"/>
    <xf numFmtId="3" fontId="96" fillId="28" borderId="1" xfId="0" applyNumberFormat="1" applyFont="1" applyFill="1" applyBorder="1"/>
    <xf numFmtId="3" fontId="96" fillId="0" borderId="0" xfId="0" applyNumberFormat="1" applyFont="1"/>
    <xf numFmtId="0" fontId="85" fillId="0" borderId="1" xfId="0" applyFont="1" applyBorder="1" applyAlignment="1">
      <alignment horizontal="left" indent="1"/>
    </xf>
    <xf numFmtId="0" fontId="96" fillId="28" borderId="11" xfId="0" applyFont="1" applyFill="1" applyBorder="1"/>
    <xf numFmtId="3" fontId="96" fillId="28" borderId="11" xfId="0" applyNumberFormat="1" applyFont="1" applyFill="1" applyBorder="1"/>
    <xf numFmtId="3" fontId="96" fillId="28" borderId="13" xfId="0" applyNumberFormat="1" applyFont="1" applyFill="1" applyBorder="1"/>
    <xf numFmtId="3" fontId="96" fillId="28" borderId="12" xfId="0" applyNumberFormat="1" applyFont="1" applyFill="1" applyBorder="1"/>
    <xf numFmtId="0" fontId="96" fillId="28" borderId="14" xfId="0" applyFont="1" applyFill="1" applyBorder="1"/>
    <xf numFmtId="3" fontId="96" fillId="28" borderId="14" xfId="0" applyNumberFormat="1" applyFont="1" applyFill="1" applyBorder="1"/>
    <xf numFmtId="3" fontId="96" fillId="28" borderId="15" xfId="0" applyNumberFormat="1" applyFont="1" applyFill="1" applyBorder="1"/>
    <xf numFmtId="3" fontId="96" fillId="28" borderId="10" xfId="0" applyNumberFormat="1" applyFont="1" applyFill="1" applyBorder="1"/>
    <xf numFmtId="0" fontId="85" fillId="0" borderId="0" xfId="0" applyFont="1" applyAlignment="1">
      <alignment horizontal="left" wrapText="1" indent="1"/>
    </xf>
    <xf numFmtId="0" fontId="98" fillId="0" borderId="0" xfId="10" applyFont="1"/>
    <xf numFmtId="0" fontId="85" fillId="0" borderId="0" xfId="10" applyFont="1"/>
    <xf numFmtId="0" fontId="99" fillId="0" borderId="0" xfId="10" applyFont="1"/>
    <xf numFmtId="0" fontId="96" fillId="0" borderId="0" xfId="10" applyFont="1"/>
    <xf numFmtId="0" fontId="85" fillId="0" borderId="1" xfId="10" applyFont="1" applyBorder="1"/>
    <xf numFmtId="0" fontId="100" fillId="0" borderId="1" xfId="10" applyFont="1" applyBorder="1" applyAlignment="1">
      <alignment vertical="center" wrapText="1"/>
    </xf>
    <xf numFmtId="0" fontId="101" fillId="0" borderId="2" xfId="10" applyFont="1" applyBorder="1" applyAlignment="1">
      <alignment horizontal="left" vertical="center" wrapText="1" indent="1"/>
    </xf>
    <xf numFmtId="0" fontId="85" fillId="26" borderId="1" xfId="10" applyFont="1" applyFill="1" applyBorder="1"/>
    <xf numFmtId="0" fontId="100" fillId="0" borderId="2" xfId="10" applyFont="1" applyBorder="1" applyAlignment="1">
      <alignment vertical="center" wrapText="1"/>
    </xf>
    <xf numFmtId="0" fontId="101" fillId="0" borderId="0" xfId="10" applyFont="1" applyAlignment="1">
      <alignment horizontal="left" vertical="center" wrapText="1" indent="1"/>
    </xf>
    <xf numFmtId="0" fontId="102" fillId="0" borderId="1" xfId="10" applyFont="1" applyBorder="1" applyAlignment="1">
      <alignment vertical="center" wrapText="1"/>
    </xf>
    <xf numFmtId="0" fontId="85" fillId="0" borderId="1" xfId="10" applyFont="1" applyBorder="1" applyAlignment="1">
      <alignment horizontal="center"/>
    </xf>
    <xf numFmtId="0" fontId="100" fillId="0" borderId="1" xfId="10" applyFont="1" applyBorder="1" applyAlignment="1">
      <alignment horizontal="left" vertical="center" wrapText="1" indent="1"/>
    </xf>
    <xf numFmtId="0" fontId="96" fillId="0" borderId="1" xfId="10" applyFont="1" applyBorder="1"/>
    <xf numFmtId="49" fontId="85" fillId="26" borderId="1" xfId="10" applyNumberFormat="1" applyFont="1" applyFill="1" applyBorder="1" applyAlignment="1">
      <alignment horizontal="center"/>
    </xf>
    <xf numFmtId="0" fontId="103" fillId="0" borderId="1" xfId="10" applyFont="1" applyBorder="1" applyAlignment="1">
      <alignment wrapText="1"/>
    </xf>
    <xf numFmtId="49" fontId="85" fillId="0" borderId="1" xfId="10" applyNumberFormat="1" applyFont="1" applyBorder="1"/>
    <xf numFmtId="0" fontId="104" fillId="0" borderId="1" xfId="10" applyFont="1" applyBorder="1" applyAlignment="1">
      <alignment horizontal="left" indent="1"/>
    </xf>
    <xf numFmtId="0" fontId="103" fillId="0" borderId="0" xfId="10" applyFont="1"/>
    <xf numFmtId="1" fontId="85" fillId="26" borderId="1" xfId="10" applyNumberFormat="1" applyFont="1" applyFill="1" applyBorder="1"/>
    <xf numFmtId="3" fontId="85" fillId="26" borderId="1" xfId="10" applyNumberFormat="1" applyFont="1" applyFill="1" applyBorder="1"/>
    <xf numFmtId="0" fontId="104" fillId="0" borderId="0" xfId="10" applyFont="1" applyAlignment="1">
      <alignment horizontal="left" wrapText="1" indent="1"/>
    </xf>
    <xf numFmtId="0" fontId="105" fillId="0" borderId="0" xfId="10" applyFont="1" applyAlignment="1">
      <alignment wrapText="1"/>
    </xf>
    <xf numFmtId="1" fontId="87" fillId="0" borderId="1" xfId="6" applyNumberFormat="1" applyBorder="1"/>
    <xf numFmtId="9" fontId="85" fillId="26" borderId="1" xfId="1" applyFont="1" applyFill="1" applyBorder="1"/>
    <xf numFmtId="9" fontId="85" fillId="26" borderId="1" xfId="10" applyNumberFormat="1" applyFont="1" applyFill="1" applyBorder="1"/>
    <xf numFmtId="9" fontId="85" fillId="30" borderId="1" xfId="1" applyFont="1" applyFill="1" applyBorder="1"/>
    <xf numFmtId="9" fontId="92" fillId="30" borderId="1" xfId="1" applyFont="1" applyFill="1" applyBorder="1"/>
    <xf numFmtId="3" fontId="85" fillId="0" borderId="1" xfId="5" applyNumberFormat="1" applyFont="1" applyBorder="1" applyAlignment="1">
      <alignment horizontal="right"/>
    </xf>
    <xf numFmtId="174" fontId="85" fillId="0" borderId="0" xfId="5" applyNumberFormat="1" applyFont="1"/>
    <xf numFmtId="175" fontId="85" fillId="0" borderId="1" xfId="5" applyNumberFormat="1" applyFont="1" applyBorder="1"/>
    <xf numFmtId="0" fontId="92" fillId="30" borderId="0" xfId="0" applyFont="1" applyFill="1"/>
    <xf numFmtId="0" fontId="90" fillId="30" borderId="10" xfId="0" applyFont="1" applyFill="1" applyBorder="1" applyAlignment="1">
      <alignment vertical="center" wrapText="1"/>
    </xf>
    <xf numFmtId="0" fontId="92" fillId="30" borderId="10" xfId="0" applyFont="1" applyFill="1" applyBorder="1"/>
    <xf numFmtId="179" fontId="85" fillId="0" borderId="0" xfId="11" applyNumberFormat="1" applyFont="1"/>
    <xf numFmtId="1" fontId="90" fillId="0" borderId="0" xfId="6" applyNumberFormat="1" applyFont="1"/>
    <xf numFmtId="9" fontId="90" fillId="0" borderId="0" xfId="7" applyFont="1" applyBorder="1" applyAlignment="1"/>
    <xf numFmtId="3" fontId="90" fillId="0" borderId="0" xfId="6" applyNumberFormat="1" applyFont="1"/>
    <xf numFmtId="0" fontId="111" fillId="0" borderId="1" xfId="0" applyFont="1" applyBorder="1"/>
    <xf numFmtId="0" fontId="112" fillId="0" borderId="0" xfId="0" applyFont="1"/>
    <xf numFmtId="9" fontId="111" fillId="0" borderId="0" xfId="0" applyNumberFormat="1" applyFont="1"/>
    <xf numFmtId="0" fontId="111" fillId="0" borderId="0" xfId="0" applyFont="1"/>
    <xf numFmtId="173" fontId="112" fillId="0" borderId="0" xfId="0" applyNumberFormat="1" applyFont="1"/>
    <xf numFmtId="1" fontId="111" fillId="0" borderId="0" xfId="0" applyNumberFormat="1" applyFont="1"/>
    <xf numFmtId="0" fontId="111" fillId="0" borderId="1" xfId="0" applyFont="1" applyBorder="1" applyAlignment="1">
      <alignment horizontal="center" wrapText="1"/>
    </xf>
    <xf numFmtId="0" fontId="111" fillId="0" borderId="1" xfId="0" applyFont="1" applyBorder="1" applyAlignment="1">
      <alignment horizontal="left" wrapText="1"/>
    </xf>
    <xf numFmtId="173" fontId="111" fillId="0" borderId="1" xfId="0" applyNumberFormat="1" applyFont="1" applyBorder="1"/>
    <xf numFmtId="2" fontId="111" fillId="0" borderId="0" xfId="0" applyNumberFormat="1" applyFont="1"/>
    <xf numFmtId="174" fontId="111" fillId="0" borderId="1" xfId="0" applyNumberFormat="1" applyFont="1" applyBorder="1"/>
    <xf numFmtId="174" fontId="111" fillId="0" borderId="0" xfId="0" applyNumberFormat="1" applyFont="1"/>
    <xf numFmtId="173" fontId="111" fillId="0" borderId="0" xfId="0" applyNumberFormat="1" applyFont="1"/>
    <xf numFmtId="0" fontId="111" fillId="0" borderId="10" xfId="0" applyFont="1" applyBorder="1" applyAlignment="1">
      <alignment horizontal="center"/>
    </xf>
    <xf numFmtId="9" fontId="111" fillId="0" borderId="10" xfId="0" applyNumberFormat="1" applyFont="1" applyBorder="1" applyAlignment="1">
      <alignment wrapText="1"/>
    </xf>
    <xf numFmtId="3" fontId="111" fillId="0" borderId="1" xfId="0" applyNumberFormat="1" applyFont="1" applyBorder="1"/>
    <xf numFmtId="9" fontId="111" fillId="0" borderId="1" xfId="1" applyFont="1" applyBorder="1"/>
    <xf numFmtId="1" fontId="111" fillId="0" borderId="1" xfId="0" applyNumberFormat="1" applyFont="1" applyBorder="1"/>
    <xf numFmtId="0" fontId="113" fillId="28" borderId="2" xfId="0" applyFont="1" applyFill="1" applyBorder="1"/>
    <xf numFmtId="3" fontId="0" fillId="3" borderId="1" xfId="0" applyNumberFormat="1" applyFill="1" applyBorder="1" applyAlignment="1" applyProtection="1">
      <alignment horizontal="left" vertical="center" indent="1" shrinkToFit="1"/>
      <protection locked="0"/>
    </xf>
    <xf numFmtId="0" fontId="93" fillId="29" borderId="1" xfId="5" applyFont="1" applyFill="1" applyBorder="1" applyAlignment="1">
      <alignment horizontal="right" vertical="top"/>
    </xf>
    <xf numFmtId="174" fontId="114" fillId="0" borderId="1" xfId="5" applyNumberFormat="1" applyFont="1" applyBorder="1"/>
    <xf numFmtId="174" fontId="114" fillId="0" borderId="1" xfId="5" applyNumberFormat="1" applyFont="1" applyBorder="1" applyAlignment="1">
      <alignment horizontal="right"/>
    </xf>
    <xf numFmtId="0" fontId="92" fillId="0" borderId="1" xfId="5" applyFont="1" applyBorder="1" applyAlignment="1">
      <alignment horizontal="left" wrapText="1" indent="2"/>
    </xf>
    <xf numFmtId="1" fontId="85" fillId="0" borderId="2" xfId="0" applyNumberFormat="1" applyFont="1" applyBorder="1"/>
    <xf numFmtId="174" fontId="85" fillId="0" borderId="2" xfId="0" applyNumberFormat="1" applyFont="1" applyBorder="1"/>
    <xf numFmtId="9" fontId="85" fillId="0" borderId="2" xfId="1" applyFont="1" applyBorder="1"/>
    <xf numFmtId="3" fontId="85" fillId="0" borderId="0" xfId="10" applyNumberFormat="1" applyFont="1"/>
    <xf numFmtId="0" fontId="111" fillId="29" borderId="1" xfId="0" applyFont="1" applyFill="1" applyBorder="1" applyAlignment="1">
      <alignment horizontal="center" vertical="top" wrapText="1"/>
    </xf>
    <xf numFmtId="0" fontId="113" fillId="11" borderId="1" xfId="0" applyFont="1" applyFill="1" applyBorder="1" applyAlignment="1">
      <alignment horizontal="left"/>
    </xf>
    <xf numFmtId="0" fontId="113" fillId="11" borderId="1" xfId="0" applyFont="1" applyFill="1" applyBorder="1"/>
    <xf numFmtId="0" fontId="113" fillId="11" borderId="1" xfId="0" applyFont="1" applyFill="1" applyBorder="1" applyAlignment="1">
      <alignment horizontal="center"/>
    </xf>
    <xf numFmtId="0" fontId="111" fillId="0" borderId="2" xfId="0" applyFont="1" applyBorder="1" applyAlignment="1">
      <alignment horizontal="left" indent="1"/>
    </xf>
    <xf numFmtId="0" fontId="111" fillId="0" borderId="1" xfId="0" applyFont="1" applyBorder="1" applyAlignment="1">
      <alignment horizontal="left" indent="3"/>
    </xf>
    <xf numFmtId="0" fontId="111" fillId="0" borderId="1" xfId="0" applyFont="1" applyBorder="1" applyAlignment="1">
      <alignment horizontal="left" indent="2"/>
    </xf>
    <xf numFmtId="0" fontId="113" fillId="0" borderId="0" xfId="0" applyFont="1"/>
    <xf numFmtId="3" fontId="112" fillId="0" borderId="0" xfId="0" applyNumberFormat="1" applyFont="1"/>
    <xf numFmtId="0" fontId="111" fillId="0" borderId="1" xfId="0" applyFont="1" applyBorder="1" applyAlignment="1">
      <alignment horizontal="left" indent="1"/>
    </xf>
    <xf numFmtId="0" fontId="111" fillId="0" borderId="1" xfId="0" applyFont="1" applyBorder="1" applyAlignment="1">
      <alignment horizontal="left" vertical="top" wrapText="1" indent="1"/>
    </xf>
    <xf numFmtId="0" fontId="111" fillId="0" borderId="1" xfId="0" applyFont="1" applyBorder="1" applyAlignment="1">
      <alignment horizontal="left" wrapText="1" indent="1"/>
    </xf>
    <xf numFmtId="0" fontId="111" fillId="0" borderId="1" xfId="0" applyFont="1" applyBorder="1" applyAlignment="1">
      <alignment wrapText="1"/>
    </xf>
    <xf numFmtId="0" fontId="111" fillId="0" borderId="1" xfId="0" applyFont="1" applyBorder="1" applyAlignment="1">
      <alignment horizontal="left" indent="4"/>
    </xf>
    <xf numFmtId="0" fontId="111" fillId="0" borderId="10" xfId="0" applyFont="1" applyBorder="1"/>
    <xf numFmtId="0" fontId="111" fillId="0" borderId="7" xfId="0" applyFont="1" applyBorder="1" applyAlignment="1">
      <alignment horizontal="center"/>
    </xf>
    <xf numFmtId="0" fontId="111" fillId="0" borderId="9" xfId="0" applyFont="1" applyBorder="1"/>
    <xf numFmtId="0" fontId="111" fillId="0" borderId="1" xfId="0" applyFont="1" applyBorder="1" applyAlignment="1">
      <alignment horizontal="center"/>
    </xf>
    <xf numFmtId="0" fontId="111" fillId="0" borderId="0" xfId="0" applyFont="1" applyAlignment="1">
      <alignment horizontal="center"/>
    </xf>
    <xf numFmtId="9" fontId="111" fillId="0" borderId="0" xfId="1" applyFont="1" applyBorder="1"/>
    <xf numFmtId="0" fontId="111" fillId="0" borderId="1" xfId="0" applyFont="1" applyBorder="1" applyAlignment="1">
      <alignment horizontal="center" vertical="top" wrapText="1"/>
    </xf>
    <xf numFmtId="9" fontId="111" fillId="0" borderId="1" xfId="0" applyNumberFormat="1" applyFont="1" applyBorder="1" applyAlignment="1">
      <alignment horizontal="center" vertical="top" wrapText="1"/>
    </xf>
    <xf numFmtId="0" fontId="111" fillId="0" borderId="2" xfId="0" applyFont="1" applyBorder="1" applyAlignment="1">
      <alignment horizontal="center"/>
    </xf>
    <xf numFmtId="0" fontId="111" fillId="0" borderId="14" xfId="0" applyFont="1" applyBorder="1" applyAlignment="1">
      <alignment horizontal="center"/>
    </xf>
    <xf numFmtId="1" fontId="111" fillId="0" borderId="1" xfId="1" applyNumberFormat="1" applyFont="1" applyBorder="1"/>
    <xf numFmtId="0" fontId="111" fillId="0" borderId="7" xfId="0" applyFont="1" applyBorder="1" applyAlignment="1">
      <alignment horizontal="center" vertical="top"/>
    </xf>
    <xf numFmtId="0" fontId="111" fillId="26" borderId="1" xfId="0" applyFont="1" applyFill="1" applyBorder="1"/>
    <xf numFmtId="3" fontId="111" fillId="0" borderId="0" xfId="0" applyNumberFormat="1" applyFont="1"/>
    <xf numFmtId="0" fontId="113" fillId="27" borderId="1" xfId="0" applyFont="1" applyFill="1" applyBorder="1" applyAlignment="1">
      <alignment horizontal="center" vertical="top" wrapText="1"/>
    </xf>
    <xf numFmtId="0" fontId="113" fillId="27" borderId="1" xfId="0" applyFont="1" applyFill="1" applyBorder="1" applyAlignment="1">
      <alignment vertical="top" wrapText="1"/>
    </xf>
    <xf numFmtId="0" fontId="113" fillId="0" borderId="1" xfId="0" applyFont="1" applyBorder="1" applyAlignment="1">
      <alignment horizontal="center" vertical="top" wrapText="1"/>
    </xf>
    <xf numFmtId="0" fontId="111" fillId="11" borderId="1" xfId="0" applyFont="1" applyFill="1" applyBorder="1"/>
    <xf numFmtId="3" fontId="111" fillId="11" borderId="1" xfId="0" applyNumberFormat="1" applyFont="1" applyFill="1" applyBorder="1"/>
    <xf numFmtId="9" fontId="111" fillId="0" borderId="1" xfId="0" applyNumberFormat="1" applyFont="1" applyBorder="1"/>
    <xf numFmtId="9" fontId="111" fillId="0" borderId="1" xfId="1" applyFont="1" applyFill="1" applyBorder="1"/>
    <xf numFmtId="9" fontId="111" fillId="0" borderId="2" xfId="0" applyNumberFormat="1" applyFont="1" applyBorder="1"/>
    <xf numFmtId="0" fontId="111" fillId="0" borderId="2" xfId="0" applyFont="1" applyBorder="1" applyAlignment="1">
      <alignment vertical="top" wrapText="1"/>
    </xf>
    <xf numFmtId="3" fontId="111" fillId="0" borderId="1" xfId="0" applyNumberFormat="1" applyFont="1" applyBorder="1" applyAlignment="1">
      <alignment horizontal="center" vertical="top" wrapText="1"/>
    </xf>
    <xf numFmtId="0" fontId="113" fillId="0" borderId="1" xfId="0" applyFont="1" applyBorder="1"/>
    <xf numFmtId="3" fontId="113" fillId="0" borderId="1" xfId="0" applyNumberFormat="1" applyFont="1" applyBorder="1"/>
    <xf numFmtId="0" fontId="111" fillId="27" borderId="1" xfId="0" applyFont="1" applyFill="1" applyBorder="1"/>
    <xf numFmtId="0" fontId="111" fillId="27" borderId="1" xfId="0" applyFont="1" applyFill="1" applyBorder="1" applyAlignment="1">
      <alignment horizontal="center" vertical="top" wrapText="1"/>
    </xf>
    <xf numFmtId="9" fontId="113" fillId="0" borderId="1" xfId="1" applyFont="1" applyBorder="1"/>
    <xf numFmtId="0" fontId="113" fillId="0" borderId="0" xfId="0" applyFont="1" applyAlignment="1">
      <alignment wrapText="1"/>
    </xf>
    <xf numFmtId="0" fontId="113" fillId="0" borderId="1" xfId="0" applyFont="1" applyBorder="1" applyAlignment="1">
      <alignment wrapText="1"/>
    </xf>
    <xf numFmtId="0" fontId="115" fillId="0" borderId="1" xfId="0" applyFont="1" applyBorder="1" applyAlignment="1">
      <alignment wrapText="1"/>
    </xf>
    <xf numFmtId="3" fontId="111" fillId="0" borderId="1" xfId="0" applyNumberFormat="1" applyFont="1" applyBorder="1" applyAlignment="1">
      <alignment wrapText="1"/>
    </xf>
    <xf numFmtId="0" fontId="116" fillId="0" borderId="1" xfId="0" applyFont="1" applyBorder="1" applyAlignment="1">
      <alignment horizontal="left" wrapText="1" indent="1"/>
    </xf>
    <xf numFmtId="3" fontId="111" fillId="0" borderId="1" xfId="0" applyNumberFormat="1" applyFont="1" applyBorder="1" applyAlignment="1">
      <alignment horizontal="left" wrapText="1" indent="1"/>
    </xf>
    <xf numFmtId="0" fontId="117" fillId="0" borderId="1" xfId="0" applyFont="1" applyBorder="1" applyAlignment="1">
      <alignment horizontal="left" wrapText="1" indent="3"/>
    </xf>
    <xf numFmtId="3" fontId="118" fillId="0" borderId="1" xfId="0" applyNumberFormat="1" applyFont="1" applyBorder="1" applyAlignment="1">
      <alignment wrapText="1"/>
    </xf>
    <xf numFmtId="0" fontId="118" fillId="0" borderId="1" xfId="0" applyFont="1" applyBorder="1" applyAlignment="1">
      <alignment horizontal="left" wrapText="1" indent="4"/>
    </xf>
    <xf numFmtId="3" fontId="118" fillId="0" borderId="1" xfId="0" applyNumberFormat="1" applyFont="1" applyBorder="1" applyAlignment="1">
      <alignment horizontal="left" wrapText="1" indent="3"/>
    </xf>
    <xf numFmtId="9" fontId="118" fillId="0" borderId="1" xfId="0" applyNumberFormat="1" applyFont="1" applyBorder="1" applyAlignment="1">
      <alignment horizontal="left" wrapText="1" indent="4"/>
    </xf>
    <xf numFmtId="0" fontId="119" fillId="0" borderId="1" xfId="0" applyFont="1" applyBorder="1" applyAlignment="1">
      <alignment wrapText="1"/>
    </xf>
    <xf numFmtId="0" fontId="111" fillId="0" borderId="1" xfId="0" applyFont="1" applyBorder="1" applyAlignment="1">
      <alignment horizontal="right"/>
    </xf>
    <xf numFmtId="3" fontId="111" fillId="0" borderId="1" xfId="0" applyNumberFormat="1" applyFont="1" applyBorder="1" applyAlignment="1">
      <alignment horizontal="right"/>
    </xf>
    <xf numFmtId="168" fontId="111" fillId="0" borderId="1" xfId="1" applyNumberFormat="1" applyFont="1" applyFill="1" applyBorder="1" applyAlignment="1">
      <alignment wrapText="1"/>
    </xf>
    <xf numFmtId="0" fontId="115" fillId="0" borderId="1" xfId="0" applyFont="1" applyBorder="1" applyAlignment="1">
      <alignment horizontal="left" wrapText="1" indent="1"/>
    </xf>
    <xf numFmtId="3" fontId="115" fillId="0" borderId="1" xfId="0" applyNumberFormat="1" applyFont="1" applyBorder="1" applyAlignment="1">
      <alignment wrapText="1"/>
    </xf>
    <xf numFmtId="9" fontId="111" fillId="0" borderId="1" xfId="1" applyFont="1" applyFill="1" applyBorder="1" applyAlignment="1">
      <alignment wrapText="1"/>
    </xf>
    <xf numFmtId="0" fontId="120" fillId="0" borderId="1" xfId="5" applyFont="1" applyBorder="1"/>
    <xf numFmtId="174" fontId="85" fillId="0" borderId="0" xfId="0" applyNumberFormat="1" applyFont="1"/>
    <xf numFmtId="0" fontId="87" fillId="29" borderId="0" xfId="6" applyFill="1"/>
    <xf numFmtId="0" fontId="93" fillId="29" borderId="0" xfId="5" applyFont="1" applyFill="1"/>
    <xf numFmtId="0" fontId="75" fillId="0" borderId="0" xfId="0" applyFont="1" applyAlignment="1">
      <alignment horizontal="left"/>
    </xf>
    <xf numFmtId="0" fontId="75" fillId="0" borderId="0" xfId="0" applyFont="1" applyAlignment="1">
      <alignment horizontal="center"/>
    </xf>
    <xf numFmtId="0" fontId="50" fillId="0" borderId="0" xfId="0" applyFont="1"/>
    <xf numFmtId="0" fontId="5" fillId="0" borderId="0" xfId="3" applyFont="1"/>
    <xf numFmtId="9" fontId="0" fillId="0" borderId="0" xfId="0" applyNumberFormat="1"/>
    <xf numFmtId="3" fontId="0" fillId="0" borderId="0" xfId="0" applyNumberFormat="1" applyAlignment="1" applyProtection="1">
      <alignment horizontal="center" vertical="center"/>
      <protection locked="0"/>
    </xf>
    <xf numFmtId="0" fontId="121" fillId="0" borderId="2" xfId="0" applyFont="1" applyBorder="1"/>
    <xf numFmtId="0" fontId="121" fillId="0" borderId="1" xfId="0" applyFont="1" applyBorder="1"/>
    <xf numFmtId="3" fontId="111" fillId="25" borderId="1" xfId="0" applyNumberFormat="1" applyFont="1" applyFill="1" applyBorder="1" applyAlignment="1">
      <alignment wrapText="1"/>
    </xf>
    <xf numFmtId="0" fontId="111" fillId="25" borderId="1" xfId="0" applyFont="1" applyFill="1" applyBorder="1"/>
    <xf numFmtId="3" fontId="0" fillId="0" borderId="0" xfId="0" applyNumberFormat="1" applyAlignment="1">
      <alignment vertical="center"/>
    </xf>
    <xf numFmtId="0" fontId="96" fillId="0" borderId="0" xfId="12" applyFont="1"/>
    <xf numFmtId="0" fontId="85" fillId="0" borderId="0" xfId="12" applyFont="1"/>
    <xf numFmtId="0" fontId="0" fillId="0" borderId="1" xfId="0" applyBorder="1" applyAlignment="1">
      <alignment horizontal="center"/>
    </xf>
    <xf numFmtId="0" fontId="85" fillId="0" borderId="1" xfId="12" applyFont="1" applyBorder="1" applyAlignment="1">
      <alignment horizontal="center"/>
    </xf>
    <xf numFmtId="9" fontId="85" fillId="0" borderId="1" xfId="1" applyFont="1" applyBorder="1" applyAlignment="1">
      <alignment horizontal="center"/>
    </xf>
    <xf numFmtId="3" fontId="85" fillId="0" borderId="1" xfId="12" applyNumberFormat="1" applyFont="1" applyBorder="1" applyAlignment="1">
      <alignment horizontal="center"/>
    </xf>
    <xf numFmtId="9" fontId="123" fillId="0" borderId="1" xfId="1" applyFont="1" applyBorder="1"/>
    <xf numFmtId="0" fontId="2" fillId="0" borderId="0" xfId="21"/>
    <xf numFmtId="9" fontId="2" fillId="0" borderId="0" xfId="21" applyNumberFormat="1"/>
    <xf numFmtId="0" fontId="76" fillId="0" borderId="0" xfId="21" applyFont="1" applyAlignment="1">
      <alignment horizontal="right"/>
    </xf>
    <xf numFmtId="0" fontId="76" fillId="0" borderId="0" xfId="21" applyFont="1"/>
    <xf numFmtId="3" fontId="76" fillId="0" borderId="0" xfId="21" applyNumberFormat="1" applyFont="1"/>
    <xf numFmtId="0" fontId="2" fillId="0" borderId="0" xfId="21" applyAlignment="1">
      <alignment wrapText="1"/>
    </xf>
    <xf numFmtId="2" fontId="2" fillId="0" borderId="0" xfId="21" applyNumberFormat="1"/>
    <xf numFmtId="3" fontId="2" fillId="0" borderId="0" xfId="21" applyNumberFormat="1"/>
    <xf numFmtId="3" fontId="13" fillId="0" borderId="3" xfId="0" applyNumberFormat="1" applyFont="1" applyBorder="1" applyAlignment="1" applyProtection="1">
      <alignment horizontal="center" vertical="center" shrinkToFit="1"/>
      <protection locked="0"/>
    </xf>
    <xf numFmtId="3" fontId="118" fillId="25" borderId="1" xfId="0" applyNumberFormat="1" applyFont="1" applyFill="1" applyBorder="1" applyAlignment="1">
      <alignment wrapText="1"/>
    </xf>
    <xf numFmtId="170" fontId="50" fillId="0" borderId="1" xfId="0" applyNumberFormat="1" applyFont="1" applyBorder="1" applyAlignment="1">
      <alignment horizontal="center" vertical="center"/>
    </xf>
    <xf numFmtId="9" fontId="111" fillId="0" borderId="0" xfId="1" applyFont="1"/>
    <xf numFmtId="9" fontId="124" fillId="0" borderId="0" xfId="1" applyFont="1"/>
    <xf numFmtId="0" fontId="50" fillId="0" borderId="1" xfId="0" applyFont="1" applyBorder="1" applyAlignment="1">
      <alignment horizontal="center" vertical="top" wrapText="1"/>
    </xf>
    <xf numFmtId="49" fontId="85" fillId="0" borderId="1" xfId="0" applyNumberFormat="1" applyFont="1" applyBorder="1" applyAlignment="1">
      <alignment horizontal="center"/>
    </xf>
    <xf numFmtId="9" fontId="85" fillId="0" borderId="1" xfId="0" applyNumberFormat="1" applyFont="1" applyBorder="1" applyAlignment="1">
      <alignment horizontal="center"/>
    </xf>
    <xf numFmtId="0" fontId="85" fillId="0" borderId="1" xfId="0" applyFont="1" applyBorder="1" applyAlignment="1">
      <alignment horizontal="left" wrapText="1"/>
    </xf>
    <xf numFmtId="0" fontId="1" fillId="0" borderId="0" xfId="21" applyFont="1"/>
    <xf numFmtId="174" fontId="90" fillId="3" borderId="30" xfId="6" applyNumberFormat="1" applyFont="1" applyFill="1" applyBorder="1"/>
    <xf numFmtId="9" fontId="85" fillId="0" borderId="0" xfId="1" applyFont="1"/>
    <xf numFmtId="166" fontId="126" fillId="0" borderId="1" xfId="0" applyNumberFormat="1" applyFont="1" applyBorder="1" applyAlignment="1">
      <alignment horizontal="center" vertical="center" shrinkToFit="1"/>
    </xf>
    <xf numFmtId="166" fontId="50" fillId="0" borderId="1" xfId="0" applyNumberFormat="1" applyFont="1" applyBorder="1" applyAlignment="1">
      <alignment horizontal="center" vertical="center" shrinkToFit="1"/>
    </xf>
    <xf numFmtId="0" fontId="127" fillId="0" borderId="0" xfId="0" applyFont="1" applyAlignment="1" applyProtection="1">
      <alignment horizontal="center" vertical="center" shrinkToFit="1"/>
      <protection locked="0"/>
    </xf>
    <xf numFmtId="166" fontId="0" fillId="0" borderId="0" xfId="0" applyNumberFormat="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54" fillId="0" borderId="1" xfId="0" applyFont="1" applyBorder="1" applyAlignment="1">
      <alignment horizontal="center" vertical="center"/>
    </xf>
    <xf numFmtId="0" fontId="29"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4"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14"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8"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50" fillId="0" borderId="2" xfId="0" applyFont="1" applyBorder="1" applyAlignment="1">
      <alignment horizontal="left" vertical="center" wrapText="1" indent="1"/>
    </xf>
    <xf numFmtId="0" fontId="50"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3" fillId="0" borderId="2" xfId="0" applyFont="1" applyBorder="1" applyAlignment="1">
      <alignment horizontal="left" vertical="center" wrapText="1" indent="1"/>
    </xf>
    <xf numFmtId="0" fontId="73" fillId="0" borderId="4" xfId="0" applyFont="1" applyBorder="1" applyAlignment="1">
      <alignment horizontal="left" vertical="center" wrapText="1" indent="1"/>
    </xf>
    <xf numFmtId="0" fontId="0" fillId="9" borderId="1" xfId="0" applyFill="1" applyBorder="1" applyAlignment="1">
      <alignment horizontal="center" vertical="center"/>
    </xf>
    <xf numFmtId="0" fontId="13" fillId="10" borderId="2" xfId="0" applyFont="1" applyFill="1" applyBorder="1" applyAlignment="1">
      <alignment horizontal="center" vertical="center"/>
    </xf>
    <xf numFmtId="0" fontId="13" fillId="10" borderId="4" xfId="0" applyFont="1" applyFill="1" applyBorder="1" applyAlignment="1">
      <alignment horizontal="center" vertical="center"/>
    </xf>
    <xf numFmtId="0" fontId="38" fillId="0" borderId="2" xfId="0" applyFont="1" applyBorder="1" applyAlignment="1">
      <alignment horizontal="left" vertical="center" indent="1"/>
    </xf>
    <xf numFmtId="0" fontId="38" fillId="0" borderId="4" xfId="0" applyFont="1" applyBorder="1" applyAlignment="1">
      <alignment horizontal="left" vertical="center" indent="1"/>
    </xf>
    <xf numFmtId="0" fontId="38" fillId="0" borderId="2" xfId="0" applyFont="1" applyBorder="1" applyAlignment="1">
      <alignment horizontal="left" vertical="center" wrapText="1" indent="1"/>
    </xf>
    <xf numFmtId="0" fontId="38" fillId="0" borderId="4" xfId="0" applyFont="1" applyBorder="1" applyAlignment="1">
      <alignment horizontal="left" vertical="center" wrapText="1" indent="1"/>
    </xf>
    <xf numFmtId="0" fontId="38" fillId="0" borderId="1" xfId="0" applyFont="1" applyBorder="1" applyAlignment="1">
      <alignment horizontal="left" vertical="center" wrapText="1" indent="1"/>
    </xf>
    <xf numFmtId="0" fontId="10" fillId="10" borderId="1" xfId="0" applyFont="1" applyFill="1" applyBorder="1" applyAlignment="1">
      <alignment horizontal="left" vertical="center" indent="1"/>
    </xf>
    <xf numFmtId="0" fontId="53" fillId="0" borderId="1" xfId="0" applyFont="1" applyBorder="1" applyAlignment="1">
      <alignment horizontal="right" vertical="center" wrapText="1" indent="1"/>
    </xf>
    <xf numFmtId="0" fontId="40" fillId="0" borderId="10" xfId="0" applyFont="1" applyBorder="1" applyAlignment="1">
      <alignment horizontal="left" vertical="center" indent="1"/>
    </xf>
    <xf numFmtId="0" fontId="19" fillId="0" borderId="1" xfId="0" applyFont="1" applyBorder="1" applyAlignment="1" applyProtection="1">
      <alignment horizontal="left" vertical="center" indent="1"/>
      <protection locked="0"/>
    </xf>
    <xf numFmtId="0" fontId="18" fillId="0" borderId="1" xfId="0" applyFont="1" applyBorder="1" applyAlignment="1" applyProtection="1">
      <alignment horizontal="left" vertical="center" wrapText="1" indent="1"/>
      <protection locked="0"/>
    </xf>
    <xf numFmtId="0" fontId="10" fillId="4" borderId="2" xfId="0" applyFont="1" applyFill="1" applyBorder="1" applyAlignment="1" applyProtection="1">
      <alignment horizontal="left" vertical="center" indent="1"/>
      <protection locked="0"/>
    </xf>
    <xf numFmtId="0" fontId="10" fillId="4" borderId="4" xfId="0" applyFont="1" applyFill="1" applyBorder="1" applyAlignment="1" applyProtection="1">
      <alignment horizontal="left" vertical="center"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13"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9" fillId="0" borderId="1" xfId="0" applyFont="1" applyBorder="1" applyAlignment="1" applyProtection="1">
      <alignment horizontal="left" vertical="center" indent="2"/>
      <protection locked="0"/>
    </xf>
    <xf numFmtId="0" fontId="18" fillId="3" borderId="1" xfId="0" applyFont="1" applyFill="1" applyBorder="1" applyAlignment="1" applyProtection="1">
      <alignment horizontal="left" vertical="center" wrapText="1" indent="1"/>
      <protection locked="0"/>
    </xf>
    <xf numFmtId="0" fontId="18" fillId="0" borderId="2" xfId="0" applyFont="1" applyBorder="1" applyAlignment="1" applyProtection="1">
      <alignment horizontal="left" vertical="center" wrapText="1" indent="1"/>
      <protection locked="0"/>
    </xf>
    <xf numFmtId="0" fontId="19" fillId="0" borderId="4" xfId="0" applyFont="1" applyBorder="1" applyAlignment="1" applyProtection="1">
      <alignment horizontal="left" vertical="center" wrapText="1" indent="1"/>
      <protection locked="0"/>
    </xf>
    <xf numFmtId="0" fontId="13" fillId="4" borderId="2" xfId="0" applyFont="1" applyFill="1" applyBorder="1" applyAlignment="1" applyProtection="1">
      <alignment horizontal="center" vertical="center" shrinkToFit="1"/>
      <protection locked="0"/>
    </xf>
    <xf numFmtId="0" fontId="13" fillId="4" borderId="4" xfId="0" applyFont="1" applyFill="1" applyBorder="1" applyAlignment="1" applyProtection="1">
      <alignment horizontal="center" vertical="center" shrinkToFit="1"/>
      <protection locked="0"/>
    </xf>
    <xf numFmtId="0" fontId="23" fillId="0" borderId="1" xfId="0" applyFont="1" applyBorder="1" applyAlignment="1" applyProtection="1">
      <alignment horizontal="left" vertical="center" indent="1"/>
      <protection locked="0"/>
    </xf>
    <xf numFmtId="0" fontId="10" fillId="6" borderId="2" xfId="0" applyFont="1" applyFill="1" applyBorder="1" applyAlignment="1" applyProtection="1">
      <alignment horizontal="left" vertical="center" indent="1"/>
      <protection locked="0"/>
    </xf>
    <xf numFmtId="0" fontId="10" fillId="6" borderId="4" xfId="0" applyFont="1" applyFill="1" applyBorder="1" applyAlignment="1" applyProtection="1">
      <alignment horizontal="left" vertical="center" indent="1"/>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27" fillId="0" borderId="2" xfId="0" applyFont="1" applyBorder="1" applyAlignment="1" applyProtection="1">
      <alignment horizontal="left" vertical="center" wrapText="1" indent="1"/>
      <protection locked="0"/>
    </xf>
    <xf numFmtId="0" fontId="23" fillId="0" borderId="4" xfId="0" applyFont="1" applyBorder="1" applyAlignment="1" applyProtection="1">
      <alignment horizontal="left" vertical="center" wrapText="1" indent="1"/>
      <protection locked="0"/>
    </xf>
    <xf numFmtId="0" fontId="13" fillId="6" borderId="2"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27" fillId="0" borderId="1" xfId="0" applyFont="1" applyBorder="1" applyAlignment="1" applyProtection="1">
      <alignment horizontal="left" vertical="center" wrapText="1"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27" fillId="0" borderId="9" xfId="0" applyFont="1" applyBorder="1" applyAlignment="1" applyProtection="1">
      <alignment horizontal="left" vertical="center" wrapText="1" indent="1"/>
      <protection locked="0"/>
    </xf>
    <xf numFmtId="0" fontId="30" fillId="0" borderId="1" xfId="0" applyFont="1" applyBorder="1" applyAlignment="1">
      <alignment horizontal="left" vertical="center" indent="1"/>
    </xf>
    <xf numFmtId="0" fontId="10" fillId="7" borderId="2" xfId="0" applyFont="1" applyFill="1" applyBorder="1" applyAlignment="1">
      <alignment horizontal="left" vertical="center" indent="1"/>
    </xf>
    <xf numFmtId="0" fontId="10" fillId="7" borderId="4" xfId="0" applyFont="1" applyFill="1" applyBorder="1" applyAlignment="1">
      <alignment horizontal="left" vertical="center" indent="1"/>
    </xf>
    <xf numFmtId="0" fontId="13"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33" fillId="0" borderId="2" xfId="0" applyFont="1" applyBorder="1" applyAlignment="1">
      <alignment horizontal="left" vertical="center" wrapText="1" indent="1"/>
    </xf>
    <xf numFmtId="0" fontId="30" fillId="0" borderId="4" xfId="0" applyFont="1" applyBorder="1" applyAlignment="1">
      <alignment horizontal="left" vertical="center" wrapText="1" indent="1"/>
    </xf>
    <xf numFmtId="0" fontId="13" fillId="7" borderId="2" xfId="0" applyFont="1" applyFill="1" applyBorder="1" applyAlignment="1">
      <alignment horizontal="center" vertical="center" shrinkToFit="1"/>
    </xf>
    <xf numFmtId="0" fontId="13" fillId="7" borderId="4" xfId="0" applyFont="1" applyFill="1" applyBorder="1" applyAlignment="1">
      <alignment horizontal="center" vertical="center" shrinkToFit="1"/>
    </xf>
    <xf numFmtId="0" fontId="33" fillId="0" borderId="1" xfId="0" applyFont="1" applyBorder="1" applyAlignment="1">
      <alignment horizontal="left" vertical="center" wrapText="1" indent="1"/>
    </xf>
    <xf numFmtId="0" fontId="33" fillId="0" borderId="7" xfId="0" applyFont="1" applyBorder="1" applyAlignment="1">
      <alignment horizontal="left" vertical="center" wrapText="1" indent="1"/>
    </xf>
    <xf numFmtId="0" fontId="33" fillId="0" borderId="8" xfId="0" applyFont="1" applyBorder="1" applyAlignment="1">
      <alignment horizontal="left" vertical="center" wrapText="1" indent="1"/>
    </xf>
    <xf numFmtId="0" fontId="33" fillId="0" borderId="9" xfId="0" applyFont="1" applyBorder="1" applyAlignment="1">
      <alignment horizontal="left" vertical="center" wrapText="1" indent="1"/>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14" fillId="22" borderId="2" xfId="0" applyNumberFormat="1" applyFont="1" applyFill="1" applyBorder="1" applyAlignment="1">
      <alignment horizontal="center" vertical="center"/>
    </xf>
    <xf numFmtId="167" fontId="14" fillId="22" borderId="3" xfId="0" applyNumberFormat="1" applyFont="1" applyFill="1" applyBorder="1" applyAlignment="1">
      <alignment horizontal="center" vertical="center"/>
    </xf>
    <xf numFmtId="167" fontId="14" fillId="22" borderId="4" xfId="0" applyNumberFormat="1" applyFont="1" applyFill="1" applyBorder="1" applyAlignment="1">
      <alignment horizontal="center" vertical="center"/>
    </xf>
    <xf numFmtId="0" fontId="69" fillId="22" borderId="2" xfId="0" applyFont="1" applyFill="1" applyBorder="1" applyAlignment="1">
      <alignment horizontal="center" vertical="center"/>
    </xf>
    <xf numFmtId="0" fontId="69" fillId="22" borderId="3" xfId="0" applyFont="1" applyFill="1" applyBorder="1" applyAlignment="1">
      <alignment horizontal="center" vertical="center"/>
    </xf>
    <xf numFmtId="0" fontId="69"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88" fillId="0" borderId="1" xfId="6" applyFont="1" applyBorder="1" applyAlignment="1">
      <alignment horizontal="center"/>
    </xf>
    <xf numFmtId="0" fontId="92" fillId="29" borderId="2" xfId="5" applyFont="1" applyFill="1" applyBorder="1" applyAlignment="1">
      <alignment horizontal="center" wrapText="1"/>
    </xf>
    <xf numFmtId="0" fontId="92" fillId="29" borderId="4" xfId="5" applyFont="1" applyFill="1" applyBorder="1" applyAlignment="1">
      <alignment horizontal="center" wrapText="1"/>
    </xf>
    <xf numFmtId="0" fontId="90" fillId="29" borderId="18" xfId="5" applyFont="1" applyFill="1" applyBorder="1" applyAlignment="1">
      <alignment horizontal="center" vertical="top"/>
    </xf>
    <xf numFmtId="0" fontId="90" fillId="29" borderId="19" xfId="5" applyFont="1" applyFill="1" applyBorder="1" applyAlignment="1">
      <alignment horizontal="center" vertical="top"/>
    </xf>
    <xf numFmtId="0" fontId="90" fillId="29" borderId="22" xfId="5" applyFont="1" applyFill="1" applyBorder="1" applyAlignment="1">
      <alignment horizontal="center" vertical="top"/>
    </xf>
    <xf numFmtId="0" fontId="90" fillId="29" borderId="23" xfId="5" applyFont="1" applyFill="1" applyBorder="1" applyAlignment="1">
      <alignment horizontal="center" vertical="top"/>
    </xf>
    <xf numFmtId="0" fontId="90" fillId="29" borderId="20" xfId="6" applyFont="1" applyFill="1" applyBorder="1" applyAlignment="1">
      <alignment horizontal="center" vertical="top" wrapText="1"/>
    </xf>
    <xf numFmtId="0" fontId="90" fillId="29" borderId="21" xfId="6" applyFont="1" applyFill="1" applyBorder="1" applyAlignment="1">
      <alignment horizontal="center" vertical="top" wrapText="1"/>
    </xf>
    <xf numFmtId="0" fontId="90" fillId="30" borderId="0" xfId="6" applyFont="1" applyFill="1" applyAlignment="1">
      <alignment horizontal="center"/>
    </xf>
    <xf numFmtId="0" fontId="86" fillId="0" borderId="0" xfId="5" applyFont="1" applyAlignment="1">
      <alignment horizontal="center"/>
    </xf>
    <xf numFmtId="0" fontId="90" fillId="29" borderId="46" xfId="5" applyFont="1" applyFill="1" applyBorder="1" applyAlignment="1">
      <alignment horizontal="center"/>
    </xf>
    <xf numFmtId="0" fontId="90" fillId="29" borderId="21" xfId="5" applyFont="1" applyFill="1" applyBorder="1" applyAlignment="1">
      <alignment horizontal="center"/>
    </xf>
    <xf numFmtId="0" fontId="90" fillId="3" borderId="25" xfId="6" applyFont="1" applyFill="1" applyBorder="1" applyAlignment="1">
      <alignment horizontal="left" wrapText="1" indent="2"/>
    </xf>
    <xf numFmtId="0" fontId="90" fillId="3" borderId="26" xfId="6" applyFont="1" applyFill="1" applyBorder="1" applyAlignment="1">
      <alignment horizontal="left" wrapText="1" indent="2"/>
    </xf>
    <xf numFmtId="0" fontId="90" fillId="3" borderId="29" xfId="6" applyFont="1" applyFill="1" applyBorder="1" applyAlignment="1">
      <alignment horizontal="left" wrapText="1" indent="2"/>
    </xf>
    <xf numFmtId="0" fontId="90" fillId="3" borderId="4" xfId="6" applyFont="1" applyFill="1" applyBorder="1" applyAlignment="1">
      <alignment horizontal="left" wrapText="1" indent="2"/>
    </xf>
    <xf numFmtId="0" fontId="90" fillId="3" borderId="32" xfId="6" applyFont="1" applyFill="1" applyBorder="1" applyAlignment="1">
      <alignment horizontal="left" wrapText="1" indent="2"/>
    </xf>
    <xf numFmtId="0" fontId="90" fillId="3" borderId="33" xfId="6" applyFont="1" applyFill="1" applyBorder="1" applyAlignment="1">
      <alignment horizontal="left" wrapText="1" indent="2"/>
    </xf>
    <xf numFmtId="0" fontId="86" fillId="0" borderId="24" xfId="5" applyFont="1" applyBorder="1" applyAlignment="1">
      <alignment horizontal="center"/>
    </xf>
    <xf numFmtId="0" fontId="86" fillId="0" borderId="21" xfId="5" applyFont="1" applyBorder="1" applyAlignment="1">
      <alignment horizontal="center"/>
    </xf>
    <xf numFmtId="0" fontId="85" fillId="0" borderId="1" xfId="10" applyFont="1" applyBorder="1" applyAlignment="1">
      <alignment horizontal="center"/>
    </xf>
    <xf numFmtId="0" fontId="0" fillId="0" borderId="0" xfId="0" applyAlignment="1">
      <alignment horizontal="left" vertical="center" wrapText="1" indent="1"/>
    </xf>
    <xf numFmtId="0" fontId="0" fillId="0" borderId="0" xfId="0"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85" fillId="0" borderId="1" xfId="0" applyFont="1" applyBorder="1" applyAlignment="1">
      <alignment horizontal="center" wrapText="1"/>
    </xf>
    <xf numFmtId="0" fontId="85" fillId="0" borderId="1" xfId="12" applyFont="1" applyBorder="1" applyAlignment="1">
      <alignment horizontal="left"/>
    </xf>
    <xf numFmtId="0" fontId="122" fillId="0" borderId="1" xfId="12" applyFont="1" applyBorder="1" applyAlignment="1">
      <alignment horizontal="center"/>
    </xf>
    <xf numFmtId="0" fontId="111" fillId="0" borderId="7" xfId="0" applyFont="1" applyBorder="1" applyAlignment="1">
      <alignment horizontal="center" vertical="top" wrapText="1"/>
    </xf>
    <xf numFmtId="0" fontId="111" fillId="0" borderId="9" xfId="0" applyFont="1" applyBorder="1" applyAlignment="1">
      <alignment horizontal="center" vertical="top" wrapText="1"/>
    </xf>
    <xf numFmtId="0" fontId="111" fillId="0" borderId="11" xfId="0" applyFont="1" applyBorder="1" applyAlignment="1">
      <alignment horizontal="center" vertical="top" wrapText="1"/>
    </xf>
    <xf numFmtId="0" fontId="111" fillId="0" borderId="14" xfId="0" applyFont="1" applyBorder="1" applyAlignment="1">
      <alignment horizontal="center" vertical="top" wrapText="1"/>
    </xf>
    <xf numFmtId="0" fontId="111" fillId="0" borderId="1" xfId="0" applyFont="1" applyBorder="1" applyAlignment="1">
      <alignment horizontal="center" vertical="top" wrapText="1"/>
    </xf>
    <xf numFmtId="9" fontId="111" fillId="0" borderId="7" xfId="0" applyNumberFormat="1" applyFont="1" applyBorder="1" applyAlignment="1">
      <alignment horizontal="center" vertical="top" wrapText="1"/>
    </xf>
    <xf numFmtId="9" fontId="111" fillId="0" borderId="9" xfId="0" applyNumberFormat="1" applyFont="1" applyBorder="1" applyAlignment="1">
      <alignment horizontal="center" vertical="top" wrapText="1"/>
    </xf>
    <xf numFmtId="3" fontId="101" fillId="0" borderId="1" xfId="0" applyNumberFormat="1" applyFont="1" applyBorder="1" applyAlignment="1">
      <alignment horizontal="center" vertical="center" wrapText="1"/>
    </xf>
    <xf numFmtId="9" fontId="101" fillId="0" borderId="1" xfId="1" applyFont="1" applyBorder="1" applyAlignment="1">
      <alignment horizontal="center" vertical="center" wrapText="1"/>
    </xf>
    <xf numFmtId="0" fontId="101" fillId="0" borderId="1" xfId="0" applyFont="1" applyBorder="1" applyAlignment="1">
      <alignment horizontal="left" vertical="center" wrapText="1"/>
    </xf>
    <xf numFmtId="0" fontId="85" fillId="0" borderId="1" xfId="0" applyFont="1" applyBorder="1" applyAlignment="1">
      <alignment horizontal="center"/>
    </xf>
    <xf numFmtId="0" fontId="101" fillId="0" borderId="47" xfId="0" applyFont="1" applyBorder="1" applyAlignment="1">
      <alignment horizontal="center" vertical="center" wrapText="1"/>
    </xf>
    <xf numFmtId="0" fontId="101" fillId="0" borderId="0" xfId="0" applyFont="1" applyAlignment="1">
      <alignment horizontal="center" vertical="center" wrapText="1"/>
    </xf>
    <xf numFmtId="0" fontId="90" fillId="0" borderId="1" xfId="0" applyFont="1" applyBorder="1" applyAlignment="1">
      <alignment horizontal="left" vertical="center" wrapText="1"/>
    </xf>
    <xf numFmtId="1" fontId="90" fillId="0" borderId="2" xfId="0" applyNumberFormat="1" applyFont="1" applyBorder="1" applyAlignment="1">
      <alignment horizontal="center" vertical="center" wrapText="1"/>
    </xf>
    <xf numFmtId="1" fontId="90" fillId="0" borderId="4" xfId="0" applyNumberFormat="1" applyFont="1" applyBorder="1" applyAlignment="1">
      <alignment horizontal="center" vertical="center" wrapText="1"/>
    </xf>
    <xf numFmtId="0" fontId="90" fillId="0" borderId="1" xfId="0" applyFont="1" applyBorder="1" applyAlignment="1">
      <alignment horizontal="left" vertical="center" wrapText="1" indent="2"/>
    </xf>
    <xf numFmtId="2" fontId="90" fillId="0" borderId="2" xfId="0" applyNumberFormat="1" applyFont="1" applyBorder="1" applyAlignment="1">
      <alignment horizontal="center" vertical="center" wrapText="1"/>
    </xf>
    <xf numFmtId="2" fontId="90" fillId="0" borderId="4" xfId="0" applyNumberFormat="1" applyFont="1" applyBorder="1" applyAlignment="1">
      <alignment horizontal="center" vertical="center" wrapText="1"/>
    </xf>
    <xf numFmtId="3" fontId="90" fillId="0" borderId="2" xfId="0" applyNumberFormat="1" applyFont="1" applyBorder="1" applyAlignment="1">
      <alignment horizontal="center" vertical="center" wrapText="1"/>
    </xf>
    <xf numFmtId="3" fontId="90" fillId="0" borderId="4" xfId="0" applyNumberFormat="1" applyFont="1" applyBorder="1" applyAlignment="1">
      <alignment horizontal="center" vertical="center" wrapText="1"/>
    </xf>
    <xf numFmtId="0" fontId="90" fillId="0" borderId="2" xfId="0" applyFont="1" applyBorder="1" applyAlignment="1">
      <alignment horizontal="center" vertical="center" wrapText="1"/>
    </xf>
    <xf numFmtId="0" fontId="90" fillId="0" borderId="4" xfId="0" applyFont="1" applyBorder="1" applyAlignment="1">
      <alignment horizontal="center" vertical="center" wrapText="1"/>
    </xf>
    <xf numFmtId="0" fontId="92" fillId="0" borderId="1" xfId="0" applyFont="1" applyBorder="1" applyAlignment="1">
      <alignment horizontal="center" wrapText="1"/>
    </xf>
    <xf numFmtId="0" fontId="85" fillId="3" borderId="1" xfId="0" applyFont="1" applyFill="1" applyBorder="1" applyAlignment="1">
      <alignment horizontal="center" vertical="center"/>
    </xf>
  </cellXfs>
  <cellStyles count="22">
    <cellStyle name="Hüperlink" xfId="2" builtinId="8"/>
    <cellStyle name="Normaallaad" xfId="0" builtinId="0"/>
    <cellStyle name="Protsent" xfId="1" builtinId="5"/>
    <cellStyle name="Обычный 2" xfId="3" xr:uid="{00000000-0005-0000-0000-000003000000}"/>
    <cellStyle name="Обычный 2 2" xfId="6" xr:uid="{00000000-0005-0000-0000-000004000000}"/>
    <cellStyle name="Обычный 2 3" xfId="13" xr:uid="{00000000-0005-0000-0000-000005000000}"/>
    <cellStyle name="Обычный 2 4" xfId="21" xr:uid="{00000000-0005-0000-0000-000006000000}"/>
    <cellStyle name="Обычный 3" xfId="8" xr:uid="{00000000-0005-0000-0000-000007000000}"/>
    <cellStyle name="Обычный 3 2" xfId="16" xr:uid="{00000000-0005-0000-0000-000008000000}"/>
    <cellStyle name="Обычный 4" xfId="10" xr:uid="{00000000-0005-0000-0000-000009000000}"/>
    <cellStyle name="Обычный 4 2" xfId="18" xr:uid="{00000000-0005-0000-0000-00000A000000}"/>
    <cellStyle name="Обычный 6 2" xfId="5" xr:uid="{00000000-0005-0000-0000-00000B000000}"/>
    <cellStyle name="Обычный 6 2 2" xfId="11" xr:uid="{00000000-0005-0000-0000-00000C000000}"/>
    <cellStyle name="Обычный 6 2 2 2" xfId="19" xr:uid="{00000000-0005-0000-0000-00000D000000}"/>
    <cellStyle name="Обычный 6 2 3" xfId="15" xr:uid="{00000000-0005-0000-0000-00000E000000}"/>
    <cellStyle name="Обычный 7" xfId="12" xr:uid="{00000000-0005-0000-0000-00000F000000}"/>
    <cellStyle name="Обычный 7 2" xfId="20" xr:uid="{00000000-0005-0000-0000-000010000000}"/>
    <cellStyle name="Процентный 2" xfId="4" xr:uid="{00000000-0005-0000-0000-000011000000}"/>
    <cellStyle name="Процентный 2 2" xfId="7" xr:uid="{00000000-0005-0000-0000-000012000000}"/>
    <cellStyle name="Процентный 2 3" xfId="14" xr:uid="{00000000-0005-0000-0000-000013000000}"/>
    <cellStyle name="Процентный 3" xfId="9" xr:uid="{00000000-0005-0000-0000-000014000000}"/>
    <cellStyle name="Процентный 3 2" xfId="17" xr:uid="{00000000-0005-0000-0000-000015000000}"/>
  </cellStyles>
  <dxfs count="4">
    <dxf>
      <font>
        <color theme="0"/>
      </font>
    </dxf>
    <dxf>
      <font>
        <color theme="0"/>
      </font>
    </dxf>
    <dxf>
      <font>
        <color theme="0"/>
      </font>
    </dxf>
    <dxf>
      <font>
        <color theme="0"/>
      </font>
    </dxf>
  </dxfs>
  <tableStyles count="0" defaultTableStyle="TableStyleMedium2" defaultPivotStyle="PivotStyleLight16"/>
  <colors>
    <mruColors>
      <color rgb="FFCC6600"/>
      <color rgb="FFA6C0F4"/>
      <color rgb="FF0000FF"/>
      <color rgb="FF000099"/>
      <color rgb="FF008000"/>
      <color rgb="FFFFFF66"/>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VIA\&#1055;&#1080;&#1083;&#1086;&#1090;&#1085;&#1099;&#1077;%20&#1088;&#1072;&#1079;&#1088;&#1072;&#1073;&#1086;&#1090;&#1082;&#1080;\Johvi%20Inkubaator\TTA\Inkubatsiooni%20keskus\Taotlus\Tuguteenused%20finatsal&#252;&#252;s%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VIA\&#1055;&#1080;&#1083;&#1086;&#1090;&#1085;&#1099;&#1077;%20&#1088;&#1072;&#1079;&#1088;&#1072;&#1073;&#1086;&#1090;&#1082;&#1080;\Johvi%20Inkubaator\TTA\Inkubatsiooni%20keskus\Taotlus\Tuguteenused%20finatsal&#252;&#252;s%2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25"/>
      <sheetName val="Tulud 25"/>
      <sheetName val="Kulud 2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75"/>
      <sheetName val="Tulud 75"/>
      <sheetName val="Kulud 7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eet.kuusmik@ivia.ee"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topLeftCell="A30" zoomScale="130" zoomScaleNormal="130" workbookViewId="0"/>
  </sheetViews>
  <sheetFormatPr defaultColWidth="9.1796875" defaultRowHeight="14.5" x14ac:dyDescent="0.35"/>
  <cols>
    <col min="1" max="1" width="14.453125" style="102" customWidth="1"/>
    <col min="2" max="2" width="71.81640625" style="105" customWidth="1"/>
    <col min="3" max="3" width="4.36328125" style="70" customWidth="1"/>
    <col min="4" max="16384" width="9.1796875" style="70"/>
  </cols>
  <sheetData>
    <row r="1" spans="1:2" ht="23.25" customHeight="1" x14ac:dyDescent="0.35">
      <c r="A1" s="125" t="s">
        <v>167</v>
      </c>
    </row>
    <row r="2" spans="1:2" ht="9" customHeight="1" x14ac:dyDescent="0.35"/>
    <row r="3" spans="1:2" ht="43.5" customHeight="1" x14ac:dyDescent="0.35">
      <c r="A3" s="735" t="s">
        <v>166</v>
      </c>
      <c r="B3" s="359" t="s">
        <v>238</v>
      </c>
    </row>
    <row r="4" spans="1:2" ht="54" customHeight="1" x14ac:dyDescent="0.35">
      <c r="A4" s="736"/>
      <c r="B4" s="283" t="s">
        <v>237</v>
      </c>
    </row>
    <row r="5" spans="1:2" ht="69" customHeight="1" x14ac:dyDescent="0.35">
      <c r="A5" s="737"/>
      <c r="B5" s="135" t="s">
        <v>239</v>
      </c>
    </row>
    <row r="6" spans="1:2" ht="14.25" customHeight="1" x14ac:dyDescent="0.35"/>
    <row r="7" spans="1:2" ht="31.5" customHeight="1" x14ac:dyDescent="0.35">
      <c r="A7" s="278" t="s">
        <v>136</v>
      </c>
      <c r="B7" s="120" t="s">
        <v>91</v>
      </c>
    </row>
    <row r="8" spans="1:2" ht="26.25" customHeight="1" x14ac:dyDescent="0.35">
      <c r="A8" s="83" t="s">
        <v>137</v>
      </c>
      <c r="B8" s="120" t="s">
        <v>92</v>
      </c>
    </row>
    <row r="10" spans="1:2" ht="37.5" customHeight="1" x14ac:dyDescent="0.35">
      <c r="A10" s="740" t="s">
        <v>143</v>
      </c>
      <c r="B10" s="124" t="s">
        <v>142</v>
      </c>
    </row>
    <row r="11" spans="1:2" ht="36" customHeight="1" x14ac:dyDescent="0.35">
      <c r="A11" s="741"/>
      <c r="B11" s="124" t="s">
        <v>240</v>
      </c>
    </row>
    <row r="12" spans="1:2" ht="54" customHeight="1" x14ac:dyDescent="0.35">
      <c r="A12" s="741"/>
      <c r="B12" s="272" t="s">
        <v>132</v>
      </c>
    </row>
    <row r="13" spans="1:2" ht="11.25" customHeight="1" x14ac:dyDescent="0.35">
      <c r="A13" s="741"/>
      <c r="B13" s="274"/>
    </row>
    <row r="14" spans="1:2" ht="26.25" customHeight="1" x14ac:dyDescent="0.35">
      <c r="A14" s="741"/>
      <c r="B14" s="273" t="s">
        <v>93</v>
      </c>
    </row>
    <row r="15" spans="1:2" ht="33.75" customHeight="1" x14ac:dyDescent="0.35">
      <c r="A15" s="741"/>
      <c r="B15" s="272" t="s">
        <v>144</v>
      </c>
    </row>
    <row r="16" spans="1:2" ht="18" customHeight="1" x14ac:dyDescent="0.35">
      <c r="A16" s="741"/>
      <c r="B16" s="272" t="s">
        <v>94</v>
      </c>
    </row>
    <row r="17" spans="1:4" ht="21.75" customHeight="1" x14ac:dyDescent="0.35">
      <c r="A17" s="741"/>
      <c r="B17" s="272" t="s">
        <v>145</v>
      </c>
      <c r="D17" s="277"/>
    </row>
    <row r="18" spans="1:4" ht="15" customHeight="1" x14ac:dyDescent="0.35">
      <c r="A18" s="741"/>
      <c r="B18" s="274"/>
      <c r="D18" s="277"/>
    </row>
    <row r="19" spans="1:4" ht="21.75" customHeight="1" x14ac:dyDescent="0.35">
      <c r="A19" s="741"/>
      <c r="B19" s="273" t="s">
        <v>95</v>
      </c>
      <c r="D19" s="277"/>
    </row>
    <row r="20" spans="1:4" ht="34.5" customHeight="1" x14ac:dyDescent="0.35">
      <c r="A20" s="741"/>
      <c r="B20" s="272" t="s">
        <v>146</v>
      </c>
    </row>
    <row r="21" spans="1:4" ht="39.75" customHeight="1" x14ac:dyDescent="0.35">
      <c r="A21" s="741"/>
      <c r="B21" s="272" t="s">
        <v>195</v>
      </c>
    </row>
    <row r="22" spans="1:4" ht="29.25" customHeight="1" x14ac:dyDescent="0.35">
      <c r="A22" s="741"/>
      <c r="B22" s="272" t="s">
        <v>147</v>
      </c>
    </row>
    <row r="24" spans="1:4" ht="3" customHeight="1" x14ac:dyDescent="0.35"/>
    <row r="25" spans="1:4" ht="49.5" customHeight="1" x14ac:dyDescent="0.35">
      <c r="A25" s="742" t="s">
        <v>96</v>
      </c>
      <c r="B25" s="122" t="s">
        <v>148</v>
      </c>
    </row>
    <row r="26" spans="1:4" ht="16.5" customHeight="1" x14ac:dyDescent="0.35">
      <c r="A26" s="742"/>
      <c r="B26" s="275"/>
    </row>
    <row r="27" spans="1:4" ht="36.75" customHeight="1" x14ac:dyDescent="0.35">
      <c r="A27" s="742"/>
      <c r="B27" s="122" t="s">
        <v>99</v>
      </c>
    </row>
    <row r="28" spans="1:4" ht="21" customHeight="1" x14ac:dyDescent="0.35">
      <c r="A28" s="742"/>
      <c r="B28" s="122" t="s">
        <v>138</v>
      </c>
    </row>
    <row r="29" spans="1:4" ht="21.75" customHeight="1" x14ac:dyDescent="0.35">
      <c r="A29" s="742"/>
      <c r="B29" s="122" t="s">
        <v>97</v>
      </c>
    </row>
    <row r="30" spans="1:4" ht="19.5" customHeight="1" x14ac:dyDescent="0.35">
      <c r="A30" s="742"/>
      <c r="B30" s="122" t="s">
        <v>149</v>
      </c>
    </row>
    <row r="31" spans="1:4" x14ac:dyDescent="0.35">
      <c r="B31" s="121"/>
    </row>
    <row r="32" spans="1:4" ht="36" customHeight="1" x14ac:dyDescent="0.35">
      <c r="A32" s="739" t="s">
        <v>98</v>
      </c>
      <c r="B32" s="123" t="s">
        <v>134</v>
      </c>
    </row>
    <row r="33" spans="1:2" ht="21" customHeight="1" x14ac:dyDescent="0.35">
      <c r="A33" s="739"/>
      <c r="B33" s="123" t="s">
        <v>116</v>
      </c>
    </row>
    <row r="34" spans="1:2" ht="15" customHeight="1" x14ac:dyDescent="0.35">
      <c r="A34" s="313"/>
    </row>
    <row r="35" spans="1:2" ht="50.25" customHeight="1" x14ac:dyDescent="0.35">
      <c r="A35" s="314" t="s">
        <v>196</v>
      </c>
      <c r="B35" s="315" t="s">
        <v>197</v>
      </c>
    </row>
    <row r="37" spans="1:2" ht="33.75" customHeight="1" x14ac:dyDescent="0.35">
      <c r="A37" s="738" t="s">
        <v>127</v>
      </c>
      <c r="B37" s="271" t="s">
        <v>128</v>
      </c>
    </row>
    <row r="38" spans="1:2" ht="54" customHeight="1" x14ac:dyDescent="0.35">
      <c r="A38" s="738"/>
      <c r="B38" s="271" t="s">
        <v>129</v>
      </c>
    </row>
    <row r="40" spans="1:2" ht="52.5" customHeight="1" x14ac:dyDescent="0.35">
      <c r="A40" s="296" t="s">
        <v>198</v>
      </c>
      <c r="B40" s="316" t="s">
        <v>199</v>
      </c>
    </row>
    <row r="42" spans="1:2" ht="48.75" customHeight="1" x14ac:dyDescent="0.35">
      <c r="A42" s="732" t="s">
        <v>222</v>
      </c>
      <c r="B42" s="320" t="s">
        <v>236</v>
      </c>
    </row>
    <row r="43" spans="1:2" ht="145" x14ac:dyDescent="0.35">
      <c r="A43" s="733"/>
      <c r="B43" s="320" t="s">
        <v>223</v>
      </c>
    </row>
    <row r="44" spans="1:2" ht="51" customHeight="1" x14ac:dyDescent="0.35">
      <c r="A44" s="734"/>
      <c r="B44" s="320" t="s">
        <v>224</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DE2F6"/>
  </sheetPr>
  <dimension ref="A1:BM17"/>
  <sheetViews>
    <sheetView topLeftCell="A11" workbookViewId="0">
      <selection activeCell="C6" sqref="C6"/>
    </sheetView>
  </sheetViews>
  <sheetFormatPr defaultColWidth="9.1796875" defaultRowHeight="14.5" x14ac:dyDescent="0.35"/>
  <cols>
    <col min="1" max="1" width="37.81640625" style="71" customWidth="1"/>
    <col min="2" max="2" width="7.453125" style="265" customWidth="1"/>
    <col min="3" max="16" width="7.1796875" style="1" customWidth="1"/>
    <col min="17" max="35" width="9.1796875" style="1"/>
    <col min="36" max="16384" width="9.1796875" style="70"/>
  </cols>
  <sheetData>
    <row r="1" spans="1:65" ht="18.5" x14ac:dyDescent="0.35">
      <c r="A1" s="321" t="s">
        <v>225</v>
      </c>
      <c r="E1" s="322" t="s">
        <v>226</v>
      </c>
    </row>
    <row r="2" spans="1:65" ht="8.25" customHeight="1" x14ac:dyDescent="0.35"/>
    <row r="3" spans="1:65" ht="22.5" customHeight="1" x14ac:dyDescent="0.35">
      <c r="Q3" s="323" t="s">
        <v>227</v>
      </c>
      <c r="R3" s="324">
        <f>'1. Projekti elluviimise kulud'!O21</f>
        <v>10</v>
      </c>
      <c r="S3" s="1" t="s">
        <v>74</v>
      </c>
    </row>
    <row r="4" spans="1:65" ht="20.25" customHeight="1" x14ac:dyDescent="0.35">
      <c r="C4" s="820" t="s">
        <v>228</v>
      </c>
      <c r="D4" s="820"/>
      <c r="E4" s="820"/>
      <c r="F4" s="820"/>
      <c r="G4" s="820"/>
      <c r="H4" s="820"/>
      <c r="I4" s="820"/>
      <c r="J4" s="820"/>
      <c r="K4" s="820"/>
      <c r="L4" s="820"/>
      <c r="M4" s="820"/>
      <c r="N4" s="820"/>
      <c r="O4" s="820"/>
      <c r="P4" s="820"/>
      <c r="Q4" s="820"/>
      <c r="R4" s="821" t="s">
        <v>229</v>
      </c>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row>
    <row r="5" spans="1:65" ht="12" customHeight="1" x14ac:dyDescent="0.35">
      <c r="C5" s="325"/>
      <c r="D5" s="325"/>
      <c r="E5" s="325"/>
      <c r="F5" s="325"/>
      <c r="G5" s="325"/>
      <c r="H5" s="325"/>
      <c r="I5" s="325"/>
      <c r="J5" s="325"/>
      <c r="K5" s="325"/>
      <c r="L5" s="325"/>
      <c r="M5" s="325"/>
      <c r="N5" s="325"/>
      <c r="O5" s="325"/>
      <c r="P5" s="325"/>
      <c r="Q5" s="325"/>
      <c r="R5" s="326">
        <v>1</v>
      </c>
      <c r="S5" s="326">
        <v>2</v>
      </c>
      <c r="T5" s="326">
        <v>3</v>
      </c>
      <c r="U5" s="326">
        <v>4</v>
      </c>
      <c r="V5" s="326">
        <v>5</v>
      </c>
      <c r="W5" s="326">
        <v>6</v>
      </c>
      <c r="X5" s="326">
        <v>7</v>
      </c>
      <c r="Y5" s="326">
        <v>8</v>
      </c>
      <c r="Z5" s="326">
        <v>9</v>
      </c>
      <c r="AA5" s="326">
        <v>10</v>
      </c>
      <c r="AB5" s="326">
        <v>11</v>
      </c>
      <c r="AC5" s="326">
        <v>12</v>
      </c>
      <c r="AD5" s="326">
        <v>13</v>
      </c>
      <c r="AE5" s="326">
        <v>14</v>
      </c>
      <c r="AF5" s="326">
        <v>15</v>
      </c>
      <c r="AG5" s="326">
        <v>16</v>
      </c>
      <c r="AH5" s="326">
        <v>17</v>
      </c>
      <c r="AI5" s="326">
        <v>18</v>
      </c>
      <c r="AJ5" s="326">
        <v>19</v>
      </c>
      <c r="AK5" s="326">
        <v>20</v>
      </c>
      <c r="AL5" s="326">
        <v>21</v>
      </c>
      <c r="AM5" s="326">
        <v>22</v>
      </c>
      <c r="AN5" s="326">
        <v>23</v>
      </c>
      <c r="AO5" s="326">
        <v>24</v>
      </c>
      <c r="AP5" s="326">
        <v>25</v>
      </c>
      <c r="AQ5" s="326">
        <v>26</v>
      </c>
      <c r="AR5" s="326">
        <v>27</v>
      </c>
      <c r="AS5" s="326">
        <v>28</v>
      </c>
      <c r="AT5" s="326">
        <v>29</v>
      </c>
      <c r="AU5" s="326">
        <v>30</v>
      </c>
      <c r="AV5" s="326">
        <v>31</v>
      </c>
      <c r="AW5" s="326">
        <v>32</v>
      </c>
      <c r="AX5" s="326">
        <v>33</v>
      </c>
      <c r="AY5" s="326">
        <v>34</v>
      </c>
      <c r="AZ5" s="326">
        <v>35</v>
      </c>
      <c r="BA5" s="326">
        <v>36</v>
      </c>
      <c r="BB5" s="326">
        <v>37</v>
      </c>
      <c r="BC5" s="326">
        <v>38</v>
      </c>
      <c r="BD5" s="326">
        <v>39</v>
      </c>
      <c r="BE5" s="326">
        <v>40</v>
      </c>
      <c r="BF5" s="326">
        <v>41</v>
      </c>
    </row>
    <row r="6" spans="1:65" s="331" customFormat="1" ht="23.25" customHeight="1" x14ac:dyDescent="0.35">
      <c r="A6" s="327"/>
      <c r="B6" s="328"/>
      <c r="C6" s="329">
        <f>'2. Tulud-kulud projektiga'!E3</f>
        <v>2025</v>
      </c>
      <c r="D6" s="329">
        <f>C6+1</f>
        <v>2026</v>
      </c>
      <c r="E6" s="329">
        <f t="shared" ref="E6:BF6" si="0">D6+1</f>
        <v>2027</v>
      </c>
      <c r="F6" s="329">
        <f t="shared" si="0"/>
        <v>2028</v>
      </c>
      <c r="G6" s="329">
        <f t="shared" si="0"/>
        <v>2029</v>
      </c>
      <c r="H6" s="329">
        <f t="shared" si="0"/>
        <v>2030</v>
      </c>
      <c r="I6" s="329">
        <f t="shared" si="0"/>
        <v>2031</v>
      </c>
      <c r="J6" s="329">
        <f t="shared" si="0"/>
        <v>2032</v>
      </c>
      <c r="K6" s="329">
        <f t="shared" si="0"/>
        <v>2033</v>
      </c>
      <c r="L6" s="329">
        <f t="shared" si="0"/>
        <v>2034</v>
      </c>
      <c r="M6" s="329">
        <f t="shared" si="0"/>
        <v>2035</v>
      </c>
      <c r="N6" s="329">
        <f t="shared" si="0"/>
        <v>2036</v>
      </c>
      <c r="O6" s="329">
        <f t="shared" si="0"/>
        <v>2037</v>
      </c>
      <c r="P6" s="329">
        <f t="shared" si="0"/>
        <v>2038</v>
      </c>
      <c r="Q6" s="329">
        <f t="shared" si="0"/>
        <v>2039</v>
      </c>
      <c r="R6" s="330">
        <f t="shared" si="0"/>
        <v>2040</v>
      </c>
      <c r="S6" s="330">
        <f t="shared" si="0"/>
        <v>2041</v>
      </c>
      <c r="T6" s="330">
        <f t="shared" si="0"/>
        <v>2042</v>
      </c>
      <c r="U6" s="330">
        <f t="shared" si="0"/>
        <v>2043</v>
      </c>
      <c r="V6" s="330">
        <f t="shared" si="0"/>
        <v>2044</v>
      </c>
      <c r="W6" s="330">
        <f t="shared" si="0"/>
        <v>2045</v>
      </c>
      <c r="X6" s="330">
        <f t="shared" si="0"/>
        <v>2046</v>
      </c>
      <c r="Y6" s="330">
        <f t="shared" si="0"/>
        <v>2047</v>
      </c>
      <c r="Z6" s="330">
        <f t="shared" si="0"/>
        <v>2048</v>
      </c>
      <c r="AA6" s="330">
        <f t="shared" si="0"/>
        <v>2049</v>
      </c>
      <c r="AB6" s="330">
        <f t="shared" si="0"/>
        <v>2050</v>
      </c>
      <c r="AC6" s="330">
        <f t="shared" si="0"/>
        <v>2051</v>
      </c>
      <c r="AD6" s="330">
        <f t="shared" si="0"/>
        <v>2052</v>
      </c>
      <c r="AE6" s="330">
        <f t="shared" si="0"/>
        <v>2053</v>
      </c>
      <c r="AF6" s="330">
        <f t="shared" si="0"/>
        <v>2054</v>
      </c>
      <c r="AG6" s="330">
        <f t="shared" si="0"/>
        <v>2055</v>
      </c>
      <c r="AH6" s="330">
        <f t="shared" si="0"/>
        <v>2056</v>
      </c>
      <c r="AI6" s="330">
        <f t="shared" si="0"/>
        <v>2057</v>
      </c>
      <c r="AJ6" s="330">
        <f t="shared" si="0"/>
        <v>2058</v>
      </c>
      <c r="AK6" s="330">
        <f t="shared" si="0"/>
        <v>2059</v>
      </c>
      <c r="AL6" s="330">
        <f t="shared" si="0"/>
        <v>2060</v>
      </c>
      <c r="AM6" s="330">
        <f t="shared" si="0"/>
        <v>2061</v>
      </c>
      <c r="AN6" s="330">
        <f t="shared" si="0"/>
        <v>2062</v>
      </c>
      <c r="AO6" s="330">
        <f t="shared" si="0"/>
        <v>2063</v>
      </c>
      <c r="AP6" s="330">
        <f t="shared" si="0"/>
        <v>2064</v>
      </c>
      <c r="AQ6" s="330">
        <f t="shared" si="0"/>
        <v>2065</v>
      </c>
      <c r="AR6" s="330">
        <f t="shared" si="0"/>
        <v>2066</v>
      </c>
      <c r="AS6" s="330">
        <f t="shared" si="0"/>
        <v>2067</v>
      </c>
      <c r="AT6" s="330">
        <f t="shared" si="0"/>
        <v>2068</v>
      </c>
      <c r="AU6" s="330">
        <f t="shared" si="0"/>
        <v>2069</v>
      </c>
      <c r="AV6" s="330">
        <f t="shared" si="0"/>
        <v>2070</v>
      </c>
      <c r="AW6" s="330">
        <f t="shared" si="0"/>
        <v>2071</v>
      </c>
      <c r="AX6" s="330">
        <f t="shared" si="0"/>
        <v>2072</v>
      </c>
      <c r="AY6" s="330">
        <f t="shared" si="0"/>
        <v>2073</v>
      </c>
      <c r="AZ6" s="330">
        <f t="shared" si="0"/>
        <v>2074</v>
      </c>
      <c r="BA6" s="330">
        <f t="shared" si="0"/>
        <v>2075</v>
      </c>
      <c r="BB6" s="330">
        <f t="shared" si="0"/>
        <v>2076</v>
      </c>
      <c r="BC6" s="330">
        <f t="shared" si="0"/>
        <v>2077</v>
      </c>
      <c r="BD6" s="330">
        <f t="shared" si="0"/>
        <v>2078</v>
      </c>
      <c r="BE6" s="330">
        <f t="shared" si="0"/>
        <v>2079</v>
      </c>
      <c r="BF6" s="330">
        <f t="shared" si="0"/>
        <v>2080</v>
      </c>
    </row>
    <row r="7" spans="1:65" ht="4.5" customHeight="1" x14ac:dyDescent="0.35">
      <c r="A7" s="238"/>
      <c r="B7" s="246"/>
      <c r="C7" s="74"/>
      <c r="D7" s="74"/>
      <c r="E7" s="74"/>
      <c r="F7" s="74"/>
      <c r="G7" s="74"/>
      <c r="H7" s="74"/>
      <c r="I7" s="74"/>
      <c r="J7" s="74"/>
      <c r="K7" s="74"/>
      <c r="L7" s="74"/>
      <c r="M7" s="74"/>
      <c r="N7" s="74"/>
      <c r="O7" s="74"/>
      <c r="P7" s="134"/>
      <c r="Q7" s="134"/>
      <c r="R7" s="332"/>
      <c r="S7" s="332"/>
      <c r="T7" s="332"/>
      <c r="U7" s="332"/>
      <c r="V7" s="332"/>
      <c r="W7" s="332"/>
      <c r="X7" s="332"/>
      <c r="Y7" s="332"/>
      <c r="Z7" s="332"/>
      <c r="AA7" s="332"/>
      <c r="AB7" s="332"/>
      <c r="AC7" s="332"/>
      <c r="AD7" s="332"/>
      <c r="AE7" s="332"/>
      <c r="AF7" s="332"/>
      <c r="AG7" s="332"/>
      <c r="AH7" s="332"/>
      <c r="AI7" s="332"/>
      <c r="AJ7" s="333"/>
      <c r="AK7" s="333"/>
      <c r="AL7" s="333"/>
      <c r="AM7" s="333"/>
      <c r="AN7" s="333"/>
      <c r="AO7" s="333"/>
      <c r="AP7" s="333"/>
      <c r="AQ7" s="333"/>
      <c r="AR7" s="333"/>
      <c r="AS7" s="333"/>
      <c r="AT7" s="333"/>
      <c r="AU7" s="333"/>
      <c r="AV7" s="333"/>
      <c r="AW7" s="333"/>
      <c r="AX7" s="333"/>
      <c r="AY7" s="333"/>
      <c r="AZ7" s="333"/>
      <c r="BA7" s="333"/>
      <c r="BB7" s="333"/>
      <c r="BC7" s="333"/>
      <c r="BD7" s="333"/>
      <c r="BE7" s="333"/>
      <c r="BF7" s="333"/>
    </row>
    <row r="8" spans="1:65" ht="36.75" customHeight="1" x14ac:dyDescent="0.35">
      <c r="A8" s="334" t="s">
        <v>235</v>
      </c>
      <c r="B8" s="335" t="s">
        <v>3</v>
      </c>
      <c r="C8" s="822">
        <f>'5. Abikõlblik kulu'!D11-'5. Abikõlblik kulu'!D12</f>
        <v>-27843.436732684728</v>
      </c>
      <c r="D8" s="823"/>
      <c r="E8" s="823"/>
      <c r="F8" s="823"/>
      <c r="G8" s="823"/>
      <c r="H8" s="823"/>
      <c r="I8" s="823"/>
      <c r="J8" s="823"/>
      <c r="K8" s="823"/>
      <c r="L8" s="823"/>
      <c r="M8" s="823"/>
      <c r="N8" s="823"/>
      <c r="O8" s="823"/>
      <c r="P8" s="823"/>
      <c r="Q8" s="824"/>
      <c r="R8" s="332"/>
      <c r="S8" s="332"/>
      <c r="T8" s="332"/>
      <c r="U8" s="332"/>
      <c r="V8" s="332"/>
      <c r="W8" s="332"/>
      <c r="X8" s="332"/>
      <c r="Y8" s="332"/>
      <c r="Z8" s="332"/>
      <c r="AA8" s="332"/>
      <c r="AB8" s="332"/>
      <c r="AC8" s="332"/>
      <c r="AD8" s="332"/>
      <c r="AE8" s="332"/>
      <c r="AF8" s="332"/>
      <c r="AG8" s="332"/>
      <c r="AH8" s="332"/>
      <c r="AI8" s="332"/>
      <c r="AJ8" s="333"/>
      <c r="AK8" s="333"/>
      <c r="AL8" s="333"/>
      <c r="AM8" s="333"/>
      <c r="AN8" s="333"/>
      <c r="AO8" s="333"/>
      <c r="AP8" s="333"/>
      <c r="AQ8" s="333"/>
      <c r="AR8" s="333"/>
      <c r="AS8" s="333"/>
      <c r="AT8" s="333"/>
      <c r="AU8" s="333"/>
      <c r="AV8" s="333"/>
      <c r="AW8" s="333"/>
      <c r="AX8" s="333"/>
      <c r="AY8" s="333"/>
      <c r="AZ8" s="333"/>
      <c r="BA8" s="333"/>
      <c r="BB8" s="333"/>
      <c r="BC8" s="333"/>
      <c r="BD8" s="333"/>
      <c r="BE8" s="333"/>
      <c r="BF8" s="333"/>
    </row>
    <row r="9" spans="1:65" ht="24.75" customHeight="1" x14ac:dyDescent="0.35">
      <c r="A9" s="336" t="s">
        <v>230</v>
      </c>
      <c r="B9" s="335" t="s">
        <v>3</v>
      </c>
      <c r="C9" s="825" t="str">
        <f>IF(AND((C8&gt;0),(R3&gt;0)),"Projekti varale on vaja arvutada jääkväärtus","Jääkväärtust ei ole vaja arvutada")</f>
        <v>Jääkväärtust ei ole vaja arvutada</v>
      </c>
      <c r="D9" s="826"/>
      <c r="E9" s="826"/>
      <c r="F9" s="826"/>
      <c r="G9" s="826"/>
      <c r="H9" s="826"/>
      <c r="I9" s="826"/>
      <c r="J9" s="826"/>
      <c r="K9" s="826"/>
      <c r="L9" s="826"/>
      <c r="M9" s="826"/>
      <c r="N9" s="826"/>
      <c r="O9" s="826"/>
      <c r="P9" s="826"/>
      <c r="Q9" s="827"/>
      <c r="R9" s="332"/>
      <c r="S9" s="332"/>
      <c r="T9" s="332"/>
      <c r="U9" s="332"/>
      <c r="V9" s="332"/>
      <c r="W9" s="332"/>
      <c r="X9" s="332"/>
      <c r="Y9" s="332"/>
      <c r="Z9" s="332"/>
      <c r="AA9" s="332"/>
      <c r="AB9" s="332"/>
      <c r="AC9" s="332"/>
      <c r="AD9" s="332"/>
      <c r="AE9" s="332"/>
      <c r="AF9" s="332"/>
      <c r="AG9" s="332"/>
      <c r="AH9" s="332"/>
      <c r="AI9" s="332"/>
      <c r="AJ9" s="333"/>
      <c r="AK9" s="333"/>
      <c r="AL9" s="333"/>
      <c r="AM9" s="333"/>
      <c r="AN9" s="333"/>
      <c r="AO9" s="333"/>
      <c r="AP9" s="333"/>
      <c r="AQ9" s="333"/>
      <c r="AR9" s="333"/>
      <c r="AS9" s="333"/>
      <c r="AT9" s="333"/>
      <c r="AU9" s="333"/>
      <c r="AV9" s="333"/>
      <c r="AW9" s="333"/>
      <c r="AX9" s="333"/>
      <c r="AY9" s="333"/>
      <c r="AZ9" s="333"/>
      <c r="BA9" s="333"/>
      <c r="BB9" s="333"/>
      <c r="BC9" s="333"/>
      <c r="BD9" s="333"/>
      <c r="BE9" s="333"/>
      <c r="BF9" s="333"/>
    </row>
    <row r="10" spans="1:65" ht="4.5" customHeight="1" x14ac:dyDescent="0.35">
      <c r="A10" s="238"/>
      <c r="B10" s="246"/>
      <c r="C10" s="74"/>
      <c r="D10" s="74"/>
      <c r="E10" s="74"/>
      <c r="F10" s="74"/>
      <c r="G10" s="74"/>
      <c r="H10" s="74"/>
      <c r="I10" s="74"/>
      <c r="J10" s="74"/>
      <c r="K10" s="74"/>
      <c r="L10" s="74"/>
      <c r="M10" s="74"/>
      <c r="N10" s="74"/>
      <c r="O10" s="74"/>
      <c r="P10" s="74"/>
      <c r="Q10" s="74"/>
      <c r="R10" s="332"/>
      <c r="S10" s="332"/>
      <c r="T10" s="332"/>
      <c r="U10" s="332"/>
      <c r="V10" s="332"/>
      <c r="W10" s="332"/>
      <c r="X10" s="332"/>
      <c r="Y10" s="332"/>
      <c r="Z10" s="332"/>
      <c r="AA10" s="332"/>
      <c r="AB10" s="332"/>
      <c r="AC10" s="332"/>
      <c r="AD10" s="332"/>
      <c r="AE10" s="332"/>
      <c r="AF10" s="332"/>
      <c r="AG10" s="332"/>
      <c r="AH10" s="332"/>
      <c r="AI10" s="332"/>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3"/>
      <c r="BF10" s="333"/>
    </row>
    <row r="11" spans="1:65" s="244" customFormat="1" ht="39.75" customHeight="1" x14ac:dyDescent="0.35">
      <c r="A11" s="337" t="s">
        <v>231</v>
      </c>
      <c r="B11" s="335" t="s">
        <v>3</v>
      </c>
      <c r="C11" s="305"/>
      <c r="D11" s="305"/>
      <c r="E11" s="305"/>
      <c r="F11" s="305"/>
      <c r="G11" s="305"/>
      <c r="H11" s="305"/>
      <c r="I11" s="305"/>
      <c r="J11" s="305"/>
      <c r="K11" s="305"/>
      <c r="L11" s="305"/>
      <c r="M11" s="305"/>
      <c r="N11" s="305"/>
      <c r="O11" s="305"/>
      <c r="P11" s="305"/>
      <c r="Q11" s="338">
        <f>'4. Lisanduvad tulud-kulud'!R121</f>
        <v>-55718.937556344754</v>
      </c>
      <c r="R11" s="339"/>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340"/>
      <c r="BC11" s="340"/>
      <c r="BD11" s="340"/>
      <c r="BE11" s="340"/>
      <c r="BF11" s="340"/>
      <c r="BG11" s="341"/>
      <c r="BH11" s="341"/>
      <c r="BI11" s="341"/>
      <c r="BJ11" s="341"/>
      <c r="BK11" s="341"/>
      <c r="BL11" s="341"/>
      <c r="BM11" s="342"/>
    </row>
    <row r="12" spans="1:65" ht="60.75" customHeight="1" x14ac:dyDescent="0.35">
      <c r="A12" s="337" t="s">
        <v>232</v>
      </c>
      <c r="B12" s="335" t="s">
        <v>3</v>
      </c>
      <c r="C12" s="343"/>
      <c r="D12" s="343"/>
      <c r="E12" s="343"/>
      <c r="F12" s="343"/>
      <c r="G12" s="343"/>
      <c r="H12" s="343"/>
      <c r="I12" s="343"/>
      <c r="J12" s="343"/>
      <c r="K12" s="343"/>
      <c r="L12" s="343"/>
      <c r="M12" s="343"/>
      <c r="N12" s="343"/>
      <c r="O12" s="343"/>
      <c r="P12" s="343"/>
      <c r="Q12" s="343"/>
      <c r="R12" s="344">
        <f>IF(Q11&gt;0,IF(R3&gt;0,Q11,0),0)</f>
        <v>0</v>
      </c>
      <c r="S12" s="344">
        <f>IF($R$3&gt;1,R12,0)</f>
        <v>0</v>
      </c>
      <c r="T12" s="344">
        <f>IF($R$3&gt;2,S12,0)</f>
        <v>0</v>
      </c>
      <c r="U12" s="344">
        <f>IF($R$3&gt;3,T12,0)</f>
        <v>0</v>
      </c>
      <c r="V12" s="344">
        <f>IF($R$3&gt;4,U12,0)</f>
        <v>0</v>
      </c>
      <c r="W12" s="344">
        <f>IF($R$3&gt;5,V12,0)</f>
        <v>0</v>
      </c>
      <c r="X12" s="344">
        <f>IF($R$3&gt;6,W12,0)</f>
        <v>0</v>
      </c>
      <c r="Y12" s="344">
        <f>IF($R$3&gt;7,X12,0)</f>
        <v>0</v>
      </c>
      <c r="Z12" s="344">
        <f>IF($R$3&gt;8,Y12,0)</f>
        <v>0</v>
      </c>
      <c r="AA12" s="344">
        <f>IF($R$3&gt;9,Z12,0)</f>
        <v>0</v>
      </c>
      <c r="AB12" s="344">
        <f>IF($R$3&gt;10,AA12,0)</f>
        <v>0</v>
      </c>
      <c r="AC12" s="344">
        <f>IF($R$3&gt;11,AB12,0)</f>
        <v>0</v>
      </c>
      <c r="AD12" s="344"/>
      <c r="AE12" s="344"/>
      <c r="AF12" s="344"/>
      <c r="AG12" s="344"/>
      <c r="AH12" s="344"/>
      <c r="AI12" s="344"/>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6"/>
      <c r="BH12" s="346"/>
      <c r="BI12" s="346"/>
      <c r="BJ12" s="346"/>
      <c r="BK12" s="346"/>
      <c r="BL12" s="346"/>
      <c r="BM12" s="347"/>
    </row>
    <row r="13" spans="1:65" ht="30.75" customHeight="1" x14ac:dyDescent="0.35">
      <c r="A13" s="337" t="s">
        <v>79</v>
      </c>
      <c r="B13" s="335" t="s">
        <v>3</v>
      </c>
      <c r="C13" s="343"/>
      <c r="D13" s="343"/>
      <c r="E13" s="343"/>
      <c r="F13" s="343"/>
      <c r="G13" s="343"/>
      <c r="H13" s="343"/>
      <c r="I13" s="343"/>
      <c r="J13" s="343"/>
      <c r="K13" s="343"/>
      <c r="L13" s="343"/>
      <c r="M13" s="343"/>
      <c r="N13" s="343"/>
      <c r="O13" s="343"/>
      <c r="P13" s="343"/>
      <c r="Q13" s="338">
        <f>NPV(C16,R12:BF12)</f>
        <v>0</v>
      </c>
      <c r="R13" s="348"/>
      <c r="S13" s="348"/>
      <c r="T13" s="348"/>
      <c r="U13" s="348"/>
      <c r="V13" s="348"/>
      <c r="W13" s="348"/>
      <c r="X13" s="348"/>
      <c r="Y13" s="348"/>
      <c r="Z13" s="348"/>
      <c r="AA13" s="348"/>
      <c r="AB13" s="348"/>
      <c r="AC13" s="348"/>
      <c r="AD13" s="348"/>
      <c r="AE13" s="348"/>
      <c r="AF13" s="348"/>
      <c r="AG13" s="348"/>
      <c r="AH13" s="348"/>
      <c r="AI13" s="348"/>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6"/>
      <c r="BH13" s="346"/>
      <c r="BI13" s="346"/>
      <c r="BJ13" s="346"/>
      <c r="BK13" s="346"/>
      <c r="BL13" s="346"/>
      <c r="BM13" s="347"/>
    </row>
    <row r="14" spans="1:65" ht="40.5" customHeight="1" x14ac:dyDescent="0.35">
      <c r="A14" s="337" t="s">
        <v>233</v>
      </c>
      <c r="B14" s="335" t="s">
        <v>3</v>
      </c>
      <c r="C14" s="343">
        <v>0</v>
      </c>
      <c r="D14" s="343">
        <v>0</v>
      </c>
      <c r="E14" s="343">
        <v>0</v>
      </c>
      <c r="F14" s="343">
        <v>0</v>
      </c>
      <c r="G14" s="343">
        <v>0</v>
      </c>
      <c r="H14" s="343">
        <v>0</v>
      </c>
      <c r="I14" s="343">
        <v>0</v>
      </c>
      <c r="J14" s="343">
        <v>0</v>
      </c>
      <c r="K14" s="343">
        <v>0</v>
      </c>
      <c r="L14" s="343">
        <v>0</v>
      </c>
      <c r="M14" s="343">
        <v>0</v>
      </c>
      <c r="N14" s="343">
        <v>0</v>
      </c>
      <c r="O14" s="343">
        <v>0</v>
      </c>
      <c r="P14" s="343">
        <v>0</v>
      </c>
      <c r="Q14" s="338">
        <f>IF(Q13&gt;0,Q13,0)</f>
        <v>0</v>
      </c>
      <c r="R14" s="350"/>
      <c r="S14" s="348"/>
      <c r="T14" s="348"/>
      <c r="U14" s="348"/>
      <c r="V14" s="348"/>
      <c r="W14" s="348"/>
      <c r="X14" s="348"/>
      <c r="Y14" s="348"/>
      <c r="Z14" s="348"/>
      <c r="AA14" s="348"/>
      <c r="AB14" s="348"/>
      <c r="AC14" s="348"/>
      <c r="AD14" s="348"/>
      <c r="AE14" s="348"/>
      <c r="AF14" s="348"/>
      <c r="AG14" s="348"/>
      <c r="AH14" s="348"/>
      <c r="AI14" s="348"/>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6"/>
      <c r="BH14" s="346"/>
      <c r="BI14" s="346"/>
      <c r="BJ14" s="346"/>
      <c r="BK14" s="346"/>
      <c r="BL14" s="346"/>
      <c r="BM14" s="347"/>
    </row>
    <row r="15" spans="1:65" ht="18.75" customHeight="1" x14ac:dyDescent="0.35">
      <c r="A15" s="351"/>
      <c r="C15" s="16"/>
      <c r="D15" s="16"/>
      <c r="E15" s="16"/>
      <c r="F15" s="16"/>
      <c r="G15" s="16"/>
      <c r="H15" s="16"/>
      <c r="I15" s="16"/>
      <c r="J15" s="16"/>
      <c r="K15" s="16"/>
      <c r="L15" s="16"/>
      <c r="M15" s="16"/>
      <c r="N15" s="16"/>
      <c r="O15" s="16"/>
      <c r="P15" s="16"/>
      <c r="Q15" s="16"/>
      <c r="R15" s="352"/>
      <c r="S15" s="353"/>
      <c r="T15" s="353"/>
      <c r="U15" s="353"/>
      <c r="V15" s="353"/>
      <c r="W15" s="353"/>
      <c r="X15" s="353"/>
      <c r="Y15" s="353"/>
      <c r="Z15" s="353"/>
      <c r="AA15" s="353"/>
      <c r="AB15" s="353"/>
      <c r="AC15" s="353"/>
      <c r="AD15" s="353"/>
      <c r="AE15" s="353"/>
      <c r="AF15" s="353"/>
      <c r="AG15" s="353"/>
      <c r="AH15" s="353"/>
      <c r="AI15" s="353"/>
      <c r="AJ15" s="347"/>
      <c r="AK15" s="347"/>
      <c r="AL15" s="347"/>
      <c r="AM15" s="347"/>
      <c r="AN15" s="347"/>
      <c r="AO15" s="34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row>
    <row r="16" spans="1:65" ht="22.5" customHeight="1" x14ac:dyDescent="0.35">
      <c r="A16" s="354" t="s">
        <v>73</v>
      </c>
      <c r="B16" s="355"/>
      <c r="C16" s="828">
        <f>'5. Abikõlblik kulu'!C3</f>
        <v>0.04</v>
      </c>
      <c r="D16" s="819"/>
    </row>
    <row r="17" spans="1:4" ht="39" customHeight="1" x14ac:dyDescent="0.35">
      <c r="A17" s="320" t="s">
        <v>234</v>
      </c>
      <c r="B17" s="356" t="s">
        <v>3</v>
      </c>
      <c r="C17" s="818">
        <f>NPV(C16,C14:Q14)</f>
        <v>0</v>
      </c>
      <c r="D17" s="819"/>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2:AI92"/>
  <sheetViews>
    <sheetView zoomScale="86" zoomScaleNormal="86" workbookViewId="0">
      <pane xSplit="4" ySplit="3" topLeftCell="G69" activePane="bottomRight" state="frozen"/>
      <selection pane="topRight" activeCell="E1" sqref="E1"/>
      <selection pane="bottomLeft" activeCell="A4" sqref="A4"/>
      <selection pane="bottomRight" activeCell="B71" sqref="B71:E76"/>
    </sheetView>
  </sheetViews>
  <sheetFormatPr defaultColWidth="9.1796875" defaultRowHeight="14" x14ac:dyDescent="0.3"/>
  <cols>
    <col min="1" max="1" width="32.81640625" style="372" customWidth="1"/>
    <col min="2" max="2" width="12.453125" style="372" customWidth="1"/>
    <col min="3" max="3" width="12.453125" style="372" hidden="1" customWidth="1"/>
    <col min="4" max="4" width="19.453125" style="373" customWidth="1"/>
    <col min="5" max="5" width="8.36328125" style="372" customWidth="1"/>
    <col min="6" max="6" width="7.453125" style="372" customWidth="1"/>
    <col min="7" max="7" width="8" style="372" customWidth="1"/>
    <col min="8" max="11" width="7.453125" style="372" customWidth="1"/>
    <col min="12" max="12" width="7.6328125" style="372" customWidth="1"/>
    <col min="13" max="20" width="7.453125" style="372" customWidth="1"/>
    <col min="21" max="21" width="10.1796875" style="372" customWidth="1"/>
    <col min="22" max="22" width="9.1796875" style="377"/>
    <col min="23" max="23" width="9.1796875" style="377" hidden="1" customWidth="1"/>
    <col min="24" max="24" width="10.453125" style="377" hidden="1" customWidth="1"/>
    <col min="25" max="25" width="10" style="377" hidden="1" customWidth="1"/>
    <col min="26" max="26" width="10.6328125" style="377" hidden="1" customWidth="1"/>
    <col min="27" max="16384" width="9.1796875" style="377"/>
  </cols>
  <sheetData>
    <row r="2" spans="1:35" x14ac:dyDescent="0.3">
      <c r="G2" s="374">
        <v>1</v>
      </c>
      <c r="H2" s="375">
        <v>2</v>
      </c>
      <c r="I2" s="375">
        <v>3</v>
      </c>
      <c r="J2" s="375">
        <v>4</v>
      </c>
      <c r="K2" s="375">
        <v>5</v>
      </c>
      <c r="L2" s="375">
        <v>6</v>
      </c>
      <c r="M2" s="375">
        <v>7</v>
      </c>
      <c r="N2" s="375">
        <v>8</v>
      </c>
      <c r="O2" s="375">
        <v>9</v>
      </c>
      <c r="P2" s="375">
        <v>10</v>
      </c>
      <c r="Q2" s="375">
        <v>11</v>
      </c>
      <c r="R2" s="375">
        <v>12</v>
      </c>
      <c r="S2" s="375">
        <v>13</v>
      </c>
      <c r="T2" s="375">
        <v>14</v>
      </c>
      <c r="U2" s="376"/>
      <c r="W2" s="829" t="s">
        <v>247</v>
      </c>
      <c r="X2" s="829"/>
      <c r="Y2" s="829"/>
      <c r="Z2" s="829"/>
    </row>
    <row r="3" spans="1:35" ht="30" customHeight="1" x14ac:dyDescent="0.3">
      <c r="A3" s="433"/>
      <c r="B3" s="830" t="s">
        <v>386</v>
      </c>
      <c r="C3" s="831"/>
      <c r="D3" s="617" t="s">
        <v>2</v>
      </c>
      <c r="E3" s="433">
        <f>'2. Tulud-kulud projektiga'!D3</f>
        <v>2024</v>
      </c>
      <c r="F3" s="433">
        <f>'2. Tulud-kulud projektiga'!E3</f>
        <v>2025</v>
      </c>
      <c r="G3" s="433">
        <f>'2. Tulud-kulud projektiga'!F3</f>
        <v>2026</v>
      </c>
      <c r="H3" s="379">
        <f>'2. Tulud-kulud projektiga'!G3</f>
        <v>2027</v>
      </c>
      <c r="I3" s="379">
        <f>'2. Tulud-kulud projektiga'!H3</f>
        <v>2028</v>
      </c>
      <c r="J3" s="379">
        <f>'2. Tulud-kulud projektiga'!I3</f>
        <v>2029</v>
      </c>
      <c r="K3" s="379">
        <f>'2. Tulud-kulud projektiga'!J3</f>
        <v>2030</v>
      </c>
      <c r="L3" s="379">
        <f>'2. Tulud-kulud projektiga'!K3</f>
        <v>2031</v>
      </c>
      <c r="M3" s="379">
        <f>'2. Tulud-kulud projektiga'!L3</f>
        <v>2032</v>
      </c>
      <c r="N3" s="379">
        <f>'2. Tulud-kulud projektiga'!M3</f>
        <v>2033</v>
      </c>
      <c r="O3" s="379">
        <f>'2. Tulud-kulud projektiga'!N3</f>
        <v>2034</v>
      </c>
      <c r="P3" s="379">
        <f>'2. Tulud-kulud projektiga'!O3</f>
        <v>2035</v>
      </c>
      <c r="Q3" s="379">
        <f>'2. Tulud-kulud projektiga'!P3</f>
        <v>2036</v>
      </c>
      <c r="R3" s="379">
        <f>'2. Tulud-kulud projektiga'!Q3</f>
        <v>2037</v>
      </c>
      <c r="S3" s="379">
        <f>'2. Tulud-kulud projektiga'!R3</f>
        <v>2038</v>
      </c>
      <c r="T3" s="379">
        <f>'2. Tulud-kulud projektiga'!S3</f>
        <v>2039</v>
      </c>
      <c r="U3" s="380" t="s">
        <v>341</v>
      </c>
      <c r="V3" s="372"/>
      <c r="W3" s="379" t="s">
        <v>248</v>
      </c>
      <c r="X3" s="381" t="s">
        <v>249</v>
      </c>
      <c r="Y3" s="379" t="s">
        <v>250</v>
      </c>
      <c r="Z3" s="379" t="s">
        <v>318</v>
      </c>
      <c r="AA3" s="372"/>
      <c r="AB3" s="372"/>
      <c r="AC3" s="372"/>
      <c r="AD3" s="372"/>
      <c r="AE3" s="372"/>
      <c r="AF3" s="372"/>
      <c r="AG3" s="372"/>
      <c r="AH3" s="372"/>
      <c r="AI3" s="372"/>
    </row>
    <row r="4" spans="1:35" x14ac:dyDescent="0.3">
      <c r="A4" s="686" t="s">
        <v>484</v>
      </c>
      <c r="B4" s="434"/>
      <c r="C4" s="434"/>
      <c r="D4" s="435"/>
      <c r="E4" s="436"/>
      <c r="F4" s="436"/>
      <c r="G4" s="436"/>
      <c r="H4" s="376"/>
      <c r="I4" s="376"/>
      <c r="J4" s="376"/>
      <c r="K4" s="376"/>
      <c r="L4" s="376"/>
      <c r="M4" s="376"/>
      <c r="N4" s="376"/>
      <c r="O4" s="376"/>
      <c r="P4" s="376"/>
      <c r="Q4" s="376"/>
      <c r="R4" s="376"/>
      <c r="S4" s="376"/>
      <c r="T4" s="376"/>
      <c r="U4" s="382"/>
      <c r="V4" s="372"/>
      <c r="W4" s="376"/>
      <c r="X4" s="376"/>
      <c r="Y4" s="376"/>
      <c r="Z4" s="376"/>
      <c r="AA4" s="372"/>
      <c r="AB4" s="372"/>
      <c r="AC4" s="372"/>
      <c r="AD4" s="372"/>
      <c r="AE4" s="372"/>
      <c r="AF4" s="372"/>
      <c r="AG4" s="372"/>
      <c r="AH4" s="372"/>
      <c r="AI4" s="372"/>
    </row>
    <row r="5" spans="1:35" x14ac:dyDescent="0.3">
      <c r="A5" s="434"/>
      <c r="B5" s="434"/>
      <c r="C5" s="434"/>
      <c r="D5" s="435"/>
      <c r="E5" s="436"/>
      <c r="F5" s="436"/>
      <c r="G5" s="436"/>
      <c r="H5" s="376"/>
      <c r="I5" s="376"/>
      <c r="J5" s="376"/>
      <c r="K5" s="376"/>
      <c r="L5" s="376"/>
      <c r="M5" s="376"/>
      <c r="N5" s="376"/>
      <c r="O5" s="376"/>
      <c r="P5" s="376"/>
      <c r="Q5" s="376"/>
      <c r="R5" s="376"/>
      <c r="S5" s="376"/>
      <c r="T5" s="376"/>
      <c r="U5" s="382"/>
      <c r="V5" s="372"/>
      <c r="W5" s="376"/>
      <c r="X5" s="376"/>
      <c r="Y5" s="376"/>
      <c r="Z5" s="376"/>
      <c r="AA5" s="372"/>
      <c r="AB5" s="372"/>
      <c r="AC5" s="372"/>
      <c r="AD5" s="372"/>
      <c r="AE5" s="372"/>
      <c r="AF5" s="372"/>
      <c r="AG5" s="372"/>
      <c r="AH5" s="372"/>
      <c r="AI5" s="372"/>
    </row>
    <row r="6" spans="1:35" x14ac:dyDescent="0.3">
      <c r="A6" s="437" t="s">
        <v>485</v>
      </c>
      <c r="B6" s="434"/>
      <c r="C6" s="434"/>
      <c r="D6" s="435"/>
      <c r="E6" s="436"/>
      <c r="F6" s="436"/>
      <c r="G6" s="618">
        <f>G10</f>
        <v>8.4</v>
      </c>
      <c r="H6" s="618">
        <f t="shared" ref="H6:S6" si="0">H10</f>
        <v>16.8</v>
      </c>
      <c r="I6" s="618">
        <f t="shared" si="0"/>
        <v>26.4</v>
      </c>
      <c r="J6" s="618">
        <f t="shared" si="0"/>
        <v>36</v>
      </c>
      <c r="K6" s="618">
        <f t="shared" si="0"/>
        <v>51</v>
      </c>
      <c r="L6" s="618">
        <f t="shared" si="0"/>
        <v>66</v>
      </c>
      <c r="M6" s="618">
        <f t="shared" si="0"/>
        <v>81</v>
      </c>
      <c r="N6" s="618">
        <f t="shared" si="0"/>
        <v>96</v>
      </c>
      <c r="O6" s="618">
        <f t="shared" si="0"/>
        <v>111</v>
      </c>
      <c r="P6" s="618">
        <f t="shared" si="0"/>
        <v>126</v>
      </c>
      <c r="Q6" s="618">
        <f t="shared" si="0"/>
        <v>141</v>
      </c>
      <c r="R6" s="618">
        <f t="shared" si="0"/>
        <v>156</v>
      </c>
      <c r="S6" s="618">
        <f t="shared" si="0"/>
        <v>171</v>
      </c>
      <c r="T6" s="618">
        <f t="shared" ref="T6" si="1">T10</f>
        <v>186</v>
      </c>
      <c r="U6" s="619">
        <f>S6</f>
        <v>171</v>
      </c>
      <c r="V6" s="372"/>
      <c r="W6" s="384">
        <f>I6</f>
        <v>26.4</v>
      </c>
      <c r="X6" s="384">
        <f>K6</f>
        <v>51</v>
      </c>
      <c r="Y6" s="384">
        <f>P6</f>
        <v>126</v>
      </c>
      <c r="Z6" s="384">
        <f>S6</f>
        <v>171</v>
      </c>
      <c r="AA6" s="372"/>
      <c r="AB6" s="372"/>
      <c r="AC6" s="372"/>
      <c r="AD6" s="372"/>
      <c r="AE6" s="372"/>
      <c r="AF6" s="372"/>
      <c r="AG6" s="372"/>
      <c r="AH6" s="372"/>
      <c r="AI6" s="372"/>
    </row>
    <row r="7" spans="1:35" x14ac:dyDescent="0.3">
      <c r="A7" s="483" t="s">
        <v>486</v>
      </c>
      <c r="B7" s="436"/>
      <c r="C7" s="436"/>
      <c r="D7" s="435" t="s">
        <v>491</v>
      </c>
      <c r="E7" s="438"/>
      <c r="F7" s="439"/>
      <c r="G7" s="439">
        <f>'Eeldused SotsMajand. moju'!C7</f>
        <v>14</v>
      </c>
      <c r="H7" s="439">
        <f>'Eeldused SotsMajand. moju'!D7</f>
        <v>14</v>
      </c>
      <c r="I7" s="439">
        <f>'Eeldused SotsMajand. moju'!E7</f>
        <v>16</v>
      </c>
      <c r="J7" s="439">
        <f>'Eeldused SotsMajand. moju'!F7</f>
        <v>16</v>
      </c>
      <c r="K7" s="439">
        <f>'Eeldused SotsMajand. moju'!G7</f>
        <v>25</v>
      </c>
      <c r="L7" s="439">
        <f>'Eeldused SotsMajand. moju'!H7</f>
        <v>25</v>
      </c>
      <c r="M7" s="439">
        <f>'Eeldused SotsMajand. moju'!I7</f>
        <v>25</v>
      </c>
      <c r="N7" s="439">
        <f>'Eeldused SotsMajand. moju'!J7</f>
        <v>25</v>
      </c>
      <c r="O7" s="439">
        <f>'Eeldused SotsMajand. moju'!K7</f>
        <v>25</v>
      </c>
      <c r="P7" s="439">
        <f>O7</f>
        <v>25</v>
      </c>
      <c r="Q7" s="439">
        <f t="shared" ref="Q7:T7" si="2">P7</f>
        <v>25</v>
      </c>
      <c r="R7" s="439">
        <f t="shared" si="2"/>
        <v>25</v>
      </c>
      <c r="S7" s="439">
        <f t="shared" si="2"/>
        <v>25</v>
      </c>
      <c r="T7" s="439">
        <f t="shared" si="2"/>
        <v>25</v>
      </c>
      <c r="U7" s="383">
        <f>SUM(G7:S7)</f>
        <v>285</v>
      </c>
      <c r="V7" s="372"/>
      <c r="W7" s="384"/>
      <c r="X7" s="384"/>
      <c r="Y7" s="384"/>
      <c r="Z7" s="384"/>
      <c r="AA7" s="372"/>
      <c r="AB7" s="372"/>
      <c r="AC7" s="372"/>
      <c r="AD7" s="372"/>
      <c r="AE7" s="372"/>
      <c r="AF7" s="372"/>
      <c r="AG7" s="372"/>
      <c r="AH7" s="372"/>
      <c r="AI7" s="372"/>
    </row>
    <row r="8" spans="1:35" x14ac:dyDescent="0.3">
      <c r="A8" s="483" t="s">
        <v>487</v>
      </c>
      <c r="B8" s="444">
        <f>'Eeldused SotsMajand. moju'!B12</f>
        <v>0.6</v>
      </c>
      <c r="C8" s="436"/>
      <c r="D8" s="435"/>
      <c r="E8" s="438"/>
      <c r="F8" s="439"/>
      <c r="G8" s="586">
        <f>B8</f>
        <v>0.6</v>
      </c>
      <c r="H8" s="585">
        <f>G8</f>
        <v>0.6</v>
      </c>
      <c r="I8" s="585">
        <f t="shared" ref="I8:T8" si="3">H8</f>
        <v>0.6</v>
      </c>
      <c r="J8" s="585">
        <f t="shared" si="3"/>
        <v>0.6</v>
      </c>
      <c r="K8" s="585">
        <f t="shared" si="3"/>
        <v>0.6</v>
      </c>
      <c r="L8" s="585">
        <f t="shared" si="3"/>
        <v>0.6</v>
      </c>
      <c r="M8" s="585">
        <f t="shared" si="3"/>
        <v>0.6</v>
      </c>
      <c r="N8" s="585">
        <f t="shared" si="3"/>
        <v>0.6</v>
      </c>
      <c r="O8" s="585">
        <f t="shared" si="3"/>
        <v>0.6</v>
      </c>
      <c r="P8" s="585">
        <f t="shared" si="3"/>
        <v>0.6</v>
      </c>
      <c r="Q8" s="585">
        <f t="shared" si="3"/>
        <v>0.6</v>
      </c>
      <c r="R8" s="585">
        <f t="shared" si="3"/>
        <v>0.6</v>
      </c>
      <c r="S8" s="585">
        <f t="shared" si="3"/>
        <v>0.6</v>
      </c>
      <c r="T8" s="585">
        <f t="shared" si="3"/>
        <v>0.6</v>
      </c>
      <c r="U8" s="376"/>
      <c r="V8" s="372"/>
      <c r="W8" s="384"/>
      <c r="X8" s="384"/>
      <c r="Y8" s="384"/>
      <c r="Z8" s="384"/>
      <c r="AA8" s="372"/>
      <c r="AB8" s="372"/>
      <c r="AC8" s="372"/>
      <c r="AD8" s="372"/>
      <c r="AE8" s="372"/>
      <c r="AF8" s="372"/>
      <c r="AG8" s="372"/>
      <c r="AH8" s="372"/>
      <c r="AI8" s="372"/>
    </row>
    <row r="9" spans="1:35" hidden="1" x14ac:dyDescent="0.3">
      <c r="A9" s="483"/>
      <c r="B9" s="444"/>
      <c r="C9" s="436"/>
      <c r="D9" s="435"/>
      <c r="E9" s="438"/>
      <c r="F9" s="439"/>
      <c r="G9" s="445">
        <f>G7*G8</f>
        <v>8.4</v>
      </c>
      <c r="H9" s="445">
        <f>H7*H8</f>
        <v>8.4</v>
      </c>
      <c r="I9" s="445">
        <f>I7*I8</f>
        <v>9.6</v>
      </c>
      <c r="J9" s="445">
        <f>J7*J8</f>
        <v>9.6</v>
      </c>
      <c r="K9" s="445">
        <f>K7*K8</f>
        <v>15</v>
      </c>
      <c r="L9" s="445">
        <f t="shared" ref="L9:S9" si="4">L7*L8</f>
        <v>15</v>
      </c>
      <c r="M9" s="445">
        <f t="shared" si="4"/>
        <v>15</v>
      </c>
      <c r="N9" s="445">
        <f t="shared" si="4"/>
        <v>15</v>
      </c>
      <c r="O9" s="445">
        <f t="shared" si="4"/>
        <v>15</v>
      </c>
      <c r="P9" s="445">
        <f t="shared" si="4"/>
        <v>15</v>
      </c>
      <c r="Q9" s="445">
        <f t="shared" si="4"/>
        <v>15</v>
      </c>
      <c r="R9" s="445">
        <f t="shared" si="4"/>
        <v>15</v>
      </c>
      <c r="S9" s="438">
        <f t="shared" si="4"/>
        <v>15</v>
      </c>
      <c r="T9" s="438">
        <f t="shared" ref="T9" si="5">T7*T8</f>
        <v>15</v>
      </c>
      <c r="U9" s="384">
        <f>SUM(G9:S9)</f>
        <v>171</v>
      </c>
      <c r="V9" s="372"/>
      <c r="W9" s="384"/>
      <c r="X9" s="384"/>
      <c r="Y9" s="384"/>
      <c r="Z9" s="384"/>
      <c r="AA9" s="372"/>
      <c r="AB9" s="372"/>
      <c r="AC9" s="372"/>
      <c r="AD9" s="372"/>
      <c r="AE9" s="372"/>
      <c r="AF9" s="372"/>
      <c r="AG9" s="372"/>
      <c r="AH9" s="372"/>
      <c r="AI9" s="372"/>
    </row>
    <row r="10" spans="1:35" ht="28" x14ac:dyDescent="0.3">
      <c r="A10" s="620" t="s">
        <v>488</v>
      </c>
      <c r="B10" s="436"/>
      <c r="C10" s="436"/>
      <c r="D10" s="435" t="s">
        <v>491</v>
      </c>
      <c r="E10" s="438"/>
      <c r="F10" s="438"/>
      <c r="G10" s="582">
        <f>G9</f>
        <v>8.4</v>
      </c>
      <c r="H10" s="582">
        <f>G10+H9</f>
        <v>16.8</v>
      </c>
      <c r="I10" s="582">
        <f t="shared" ref="I10:T10" si="6">H10+I9</f>
        <v>26.4</v>
      </c>
      <c r="J10" s="582">
        <f t="shared" si="6"/>
        <v>36</v>
      </c>
      <c r="K10" s="582">
        <f t="shared" si="6"/>
        <v>51</v>
      </c>
      <c r="L10" s="582">
        <f t="shared" si="6"/>
        <v>66</v>
      </c>
      <c r="M10" s="582">
        <f t="shared" si="6"/>
        <v>81</v>
      </c>
      <c r="N10" s="582">
        <f t="shared" si="6"/>
        <v>96</v>
      </c>
      <c r="O10" s="582">
        <f t="shared" si="6"/>
        <v>111</v>
      </c>
      <c r="P10" s="582">
        <f t="shared" si="6"/>
        <v>126</v>
      </c>
      <c r="Q10" s="582">
        <f t="shared" si="6"/>
        <v>141</v>
      </c>
      <c r="R10" s="582">
        <f t="shared" si="6"/>
        <v>156</v>
      </c>
      <c r="S10" s="582">
        <f t="shared" si="6"/>
        <v>171</v>
      </c>
      <c r="T10" s="582">
        <f t="shared" si="6"/>
        <v>186</v>
      </c>
      <c r="U10" s="384">
        <f>T10</f>
        <v>186</v>
      </c>
      <c r="V10" s="372"/>
      <c r="W10" s="384">
        <f>I10</f>
        <v>26.4</v>
      </c>
      <c r="X10" s="384">
        <f>K10</f>
        <v>51</v>
      </c>
      <c r="Y10" s="384">
        <f>P10</f>
        <v>126</v>
      </c>
      <c r="Z10" s="384">
        <f>S10</f>
        <v>171</v>
      </c>
      <c r="AA10" s="372"/>
      <c r="AB10" s="372"/>
      <c r="AC10" s="372"/>
      <c r="AD10" s="372"/>
      <c r="AE10" s="372"/>
      <c r="AF10" s="372"/>
      <c r="AG10" s="372"/>
      <c r="AH10" s="372"/>
      <c r="AI10" s="372"/>
    </row>
    <row r="11" spans="1:35" hidden="1" x14ac:dyDescent="0.3">
      <c r="A11" s="483" t="s">
        <v>319</v>
      </c>
      <c r="B11" s="436"/>
      <c r="C11" s="436"/>
      <c r="D11" s="435"/>
      <c r="E11" s="438"/>
      <c r="F11" s="438"/>
      <c r="G11" s="582"/>
      <c r="H11" s="582"/>
      <c r="I11" s="582"/>
      <c r="J11" s="582"/>
      <c r="K11" s="582"/>
      <c r="L11" s="582"/>
      <c r="M11" s="582"/>
      <c r="N11" s="582"/>
      <c r="O11" s="582"/>
      <c r="P11" s="582"/>
      <c r="Q11" s="582"/>
      <c r="R11" s="582"/>
      <c r="S11" s="582"/>
      <c r="T11" s="582"/>
      <c r="U11" s="384"/>
      <c r="V11" s="372"/>
      <c r="W11" s="384"/>
      <c r="X11" s="384"/>
      <c r="Y11" s="384"/>
      <c r="Z11" s="384"/>
      <c r="AA11" s="372"/>
      <c r="AB11" s="372"/>
      <c r="AC11" s="372"/>
      <c r="AD11" s="372"/>
      <c r="AE11" s="372"/>
      <c r="AF11" s="372"/>
      <c r="AG11" s="372"/>
      <c r="AH11" s="372"/>
      <c r="AI11" s="372"/>
    </row>
    <row r="12" spans="1:35" hidden="1" x14ac:dyDescent="0.3">
      <c r="A12" s="483" t="s">
        <v>320</v>
      </c>
      <c r="B12" s="436"/>
      <c r="C12" s="436"/>
      <c r="D12" s="435"/>
      <c r="E12" s="438"/>
      <c r="F12" s="438"/>
      <c r="G12" s="582">
        <f>G9</f>
        <v>8.4</v>
      </c>
      <c r="H12" s="582">
        <f>G9+H9</f>
        <v>16.8</v>
      </c>
      <c r="I12" s="582">
        <f t="shared" ref="I12:O12" si="7">G9+H9+I9</f>
        <v>26.4</v>
      </c>
      <c r="J12" s="582">
        <f t="shared" si="7"/>
        <v>27.6</v>
      </c>
      <c r="K12" s="582">
        <f t="shared" si="7"/>
        <v>34.200000000000003</v>
      </c>
      <c r="L12" s="582">
        <f t="shared" si="7"/>
        <v>39.6</v>
      </c>
      <c r="M12" s="582">
        <f t="shared" si="7"/>
        <v>45</v>
      </c>
      <c r="N12" s="582">
        <f t="shared" si="7"/>
        <v>45</v>
      </c>
      <c r="O12" s="582">
        <f t="shared" si="7"/>
        <v>45</v>
      </c>
      <c r="P12" s="582">
        <f>O9+P9</f>
        <v>30</v>
      </c>
      <c r="Q12" s="582">
        <f>O9+P9+Q9</f>
        <v>45</v>
      </c>
      <c r="R12" s="582">
        <f>P9+Q9+R9</f>
        <v>45</v>
      </c>
      <c r="S12" s="582">
        <f>Q9+R9+S9</f>
        <v>45</v>
      </c>
      <c r="T12" s="582">
        <f>R9+S9+T9</f>
        <v>45</v>
      </c>
      <c r="U12" s="384"/>
      <c r="V12" s="372"/>
      <c r="W12" s="384">
        <f t="shared" ref="W12:W16" si="8">I12</f>
        <v>26.4</v>
      </c>
      <c r="X12" s="384">
        <f t="shared" ref="X12:X16" si="9">K12</f>
        <v>34.200000000000003</v>
      </c>
      <c r="Y12" s="384">
        <f t="shared" ref="Y12:Y16" si="10">P12</f>
        <v>30</v>
      </c>
      <c r="Z12" s="384">
        <f t="shared" ref="Z12:Z16" si="11">S12</f>
        <v>45</v>
      </c>
      <c r="AA12" s="372"/>
      <c r="AB12" s="372"/>
      <c r="AC12" s="372"/>
      <c r="AD12" s="372"/>
      <c r="AE12" s="372"/>
      <c r="AF12" s="372"/>
      <c r="AG12" s="372"/>
      <c r="AH12" s="372"/>
      <c r="AI12" s="372"/>
    </row>
    <row r="13" spans="1:35" hidden="1" x14ac:dyDescent="0.3">
      <c r="A13" s="483" t="s">
        <v>321</v>
      </c>
      <c r="B13" s="436"/>
      <c r="C13" s="436"/>
      <c r="D13" s="435"/>
      <c r="E13" s="438"/>
      <c r="F13" s="438"/>
      <c r="G13" s="582"/>
      <c r="H13" s="582"/>
      <c r="I13" s="582"/>
      <c r="J13" s="582">
        <f>G9</f>
        <v>8.4</v>
      </c>
      <c r="K13" s="582">
        <f t="shared" ref="K13:T13" si="12">G9+H9</f>
        <v>16.8</v>
      </c>
      <c r="L13" s="582">
        <f t="shared" si="12"/>
        <v>18</v>
      </c>
      <c r="M13" s="582">
        <f t="shared" si="12"/>
        <v>19.2</v>
      </c>
      <c r="N13" s="582">
        <f t="shared" si="12"/>
        <v>24.6</v>
      </c>
      <c r="O13" s="582">
        <f t="shared" si="12"/>
        <v>30</v>
      </c>
      <c r="P13" s="582">
        <f t="shared" si="12"/>
        <v>30</v>
      </c>
      <c r="Q13" s="582">
        <f t="shared" si="12"/>
        <v>30</v>
      </c>
      <c r="R13" s="582">
        <f t="shared" si="12"/>
        <v>30</v>
      </c>
      <c r="S13" s="582">
        <f t="shared" si="12"/>
        <v>30</v>
      </c>
      <c r="T13" s="582">
        <f t="shared" si="12"/>
        <v>30</v>
      </c>
      <c r="U13" s="384"/>
      <c r="V13" s="372"/>
      <c r="W13" s="384">
        <f t="shared" si="8"/>
        <v>0</v>
      </c>
      <c r="X13" s="384">
        <f t="shared" si="9"/>
        <v>16.8</v>
      </c>
      <c r="Y13" s="384">
        <f t="shared" si="10"/>
        <v>30</v>
      </c>
      <c r="Z13" s="384">
        <f t="shared" si="11"/>
        <v>30</v>
      </c>
      <c r="AA13" s="372"/>
      <c r="AB13" s="372"/>
      <c r="AC13" s="372"/>
      <c r="AD13" s="372"/>
      <c r="AE13" s="372"/>
      <c r="AF13" s="372"/>
      <c r="AG13" s="372"/>
      <c r="AH13" s="372"/>
      <c r="AI13" s="372"/>
    </row>
    <row r="14" spans="1:35" hidden="1" x14ac:dyDescent="0.3">
      <c r="A14" s="483" t="s">
        <v>322</v>
      </c>
      <c r="B14" s="436"/>
      <c r="C14" s="436"/>
      <c r="D14" s="435"/>
      <c r="E14" s="438"/>
      <c r="F14" s="438"/>
      <c r="G14" s="582"/>
      <c r="H14" s="582"/>
      <c r="I14" s="582"/>
      <c r="J14" s="582"/>
      <c r="K14" s="582"/>
      <c r="L14" s="582">
        <f>G9</f>
        <v>8.4</v>
      </c>
      <c r="M14" s="582">
        <f>G9+H9</f>
        <v>16.8</v>
      </c>
      <c r="N14" s="582">
        <f>G9+H9+I9</f>
        <v>26.4</v>
      </c>
      <c r="O14" s="582">
        <f>H9+I9+J9</f>
        <v>27.6</v>
      </c>
      <c r="P14" s="582">
        <f>I9+J9+K9</f>
        <v>34.200000000000003</v>
      </c>
      <c r="Q14" s="582">
        <f>J9+K9+L9</f>
        <v>39.6</v>
      </c>
      <c r="R14" s="582">
        <f>K9+L9+M9</f>
        <v>45</v>
      </c>
      <c r="S14" s="582">
        <f>M9+N9</f>
        <v>30</v>
      </c>
      <c r="T14" s="582">
        <f>N9+O9</f>
        <v>30</v>
      </c>
      <c r="U14" s="384"/>
      <c r="V14" s="372"/>
      <c r="W14" s="384">
        <f t="shared" si="8"/>
        <v>0</v>
      </c>
      <c r="X14" s="384">
        <f t="shared" si="9"/>
        <v>0</v>
      </c>
      <c r="Y14" s="384">
        <f t="shared" si="10"/>
        <v>34.200000000000003</v>
      </c>
      <c r="Z14" s="384">
        <f t="shared" si="11"/>
        <v>30</v>
      </c>
      <c r="AA14" s="372"/>
      <c r="AB14" s="372"/>
      <c r="AC14" s="372"/>
      <c r="AD14" s="372"/>
      <c r="AE14" s="372"/>
      <c r="AF14" s="372"/>
      <c r="AG14" s="372"/>
      <c r="AH14" s="372"/>
      <c r="AI14" s="372"/>
    </row>
    <row r="15" spans="1:35" ht="16.5" hidden="1" customHeight="1" x14ac:dyDescent="0.3">
      <c r="A15" s="483" t="s">
        <v>323</v>
      </c>
      <c r="B15" s="436"/>
      <c r="C15" s="436"/>
      <c r="D15" s="435"/>
      <c r="E15" s="438"/>
      <c r="F15" s="438"/>
      <c r="G15" s="582"/>
      <c r="H15" s="582"/>
      <c r="I15" s="582"/>
      <c r="J15" s="582"/>
      <c r="K15" s="582"/>
      <c r="L15" s="582"/>
      <c r="M15" s="582"/>
      <c r="N15" s="582"/>
      <c r="O15" s="582">
        <f>G9</f>
        <v>8.4</v>
      </c>
      <c r="P15" s="582">
        <f>G9+H9</f>
        <v>16.8</v>
      </c>
      <c r="Q15" s="582">
        <f>H9+I9</f>
        <v>18</v>
      </c>
      <c r="R15" s="582">
        <f>I9+J9</f>
        <v>19.2</v>
      </c>
      <c r="S15" s="582">
        <f>J9+K9+L9</f>
        <v>39.6</v>
      </c>
      <c r="T15" s="582">
        <f>K9+L9+M9</f>
        <v>45</v>
      </c>
      <c r="U15" s="384"/>
      <c r="V15" s="372"/>
      <c r="W15" s="384">
        <f t="shared" si="8"/>
        <v>0</v>
      </c>
      <c r="X15" s="384">
        <f t="shared" si="9"/>
        <v>0</v>
      </c>
      <c r="Y15" s="384">
        <f t="shared" si="10"/>
        <v>16.8</v>
      </c>
      <c r="Z15" s="384">
        <f t="shared" si="11"/>
        <v>39.6</v>
      </c>
      <c r="AA15" s="372"/>
      <c r="AB15" s="372"/>
      <c r="AC15" s="372"/>
      <c r="AD15" s="372"/>
      <c r="AE15" s="372"/>
      <c r="AF15" s="372"/>
      <c r="AG15" s="372"/>
      <c r="AH15" s="372"/>
      <c r="AI15" s="372"/>
    </row>
    <row r="16" spans="1:35" ht="15" hidden="1" customHeight="1" x14ac:dyDescent="0.3">
      <c r="A16" s="483" t="s">
        <v>324</v>
      </c>
      <c r="B16" s="436"/>
      <c r="C16" s="436"/>
      <c r="D16" s="435"/>
      <c r="E16" s="438"/>
      <c r="F16" s="438"/>
      <c r="G16" s="582"/>
      <c r="H16" s="582"/>
      <c r="I16" s="582"/>
      <c r="J16" s="582"/>
      <c r="K16" s="582"/>
      <c r="L16" s="582"/>
      <c r="M16" s="582"/>
      <c r="N16" s="582"/>
      <c r="O16" s="582"/>
      <c r="P16" s="582"/>
      <c r="Q16" s="582">
        <f>G9</f>
        <v>8.4</v>
      </c>
      <c r="R16" s="582">
        <f>G9+H9</f>
        <v>16.8</v>
      </c>
      <c r="S16" s="582">
        <f>G9+H9+I9</f>
        <v>26.4</v>
      </c>
      <c r="T16" s="582">
        <f>H9+I9+J9</f>
        <v>27.6</v>
      </c>
      <c r="U16" s="384"/>
      <c r="V16" s="372"/>
      <c r="W16" s="384">
        <f t="shared" si="8"/>
        <v>0</v>
      </c>
      <c r="X16" s="384">
        <f t="shared" si="9"/>
        <v>0</v>
      </c>
      <c r="Y16" s="384">
        <f t="shared" si="10"/>
        <v>0</v>
      </c>
      <c r="Z16" s="384">
        <f t="shared" si="11"/>
        <v>26.4</v>
      </c>
      <c r="AA16" s="372"/>
      <c r="AB16" s="372"/>
      <c r="AC16" s="372"/>
      <c r="AD16" s="372"/>
      <c r="AE16" s="372"/>
      <c r="AF16" s="372"/>
      <c r="AG16" s="372"/>
      <c r="AH16" s="372"/>
      <c r="AI16" s="372"/>
    </row>
    <row r="17" spans="1:35" hidden="1" x14ac:dyDescent="0.3">
      <c r="A17" s="483"/>
      <c r="B17" s="436"/>
      <c r="C17" s="436"/>
      <c r="D17" s="435"/>
      <c r="E17" s="438"/>
      <c r="F17" s="438"/>
      <c r="G17" s="582"/>
      <c r="H17" s="582"/>
      <c r="I17" s="582"/>
      <c r="J17" s="582"/>
      <c r="K17" s="582"/>
      <c r="L17" s="582"/>
      <c r="M17" s="582"/>
      <c r="N17" s="582"/>
      <c r="O17" s="582"/>
      <c r="P17" s="582"/>
      <c r="Q17" s="582"/>
      <c r="R17" s="582"/>
      <c r="S17" s="582"/>
      <c r="T17" s="582"/>
      <c r="U17" s="384"/>
      <c r="V17" s="372"/>
      <c r="W17" s="384"/>
      <c r="X17" s="384"/>
      <c r="Y17" s="384"/>
      <c r="Z17" s="384"/>
      <c r="AA17" s="372"/>
      <c r="AB17" s="372"/>
      <c r="AC17" s="372"/>
      <c r="AD17" s="372"/>
      <c r="AE17" s="372"/>
      <c r="AF17" s="372"/>
      <c r="AG17" s="372"/>
      <c r="AH17" s="372"/>
      <c r="AI17" s="372"/>
    </row>
    <row r="18" spans="1:35" x14ac:dyDescent="0.3">
      <c r="A18" s="437" t="s">
        <v>378</v>
      </c>
      <c r="B18" s="440"/>
      <c r="C18" s="441"/>
      <c r="D18" s="435" t="s">
        <v>490</v>
      </c>
      <c r="E18" s="443"/>
      <c r="F18" s="443"/>
      <c r="G18" s="443">
        <f>G12*'Eeldused SotsMajand. moju'!$B$24+G13*'Eeldused SotsMajand. moju'!$C$24+G14*'Eeldused SotsMajand. moju'!$D$24+G15*'Eeldused SotsMajand. moju'!$E$24+G16*'Eeldused SotsMajand. moju'!$F$24</f>
        <v>1680000</v>
      </c>
      <c r="H18" s="443">
        <f>H12*'Eeldused SotsMajand. moju'!$B$24+H13*'Eeldused SotsMajand. moju'!$C$24+H14*'Eeldused SotsMajand. moju'!$D$24+H15*'Eeldused SotsMajand. moju'!$E$24+H16*'Eeldused SotsMajand. moju'!$F$24</f>
        <v>3360000</v>
      </c>
      <c r="I18" s="443">
        <f>I12*'Eeldused SotsMajand. moju'!$B$24+I13*'Eeldused SotsMajand. moju'!$C$24+I14*'Eeldused SotsMajand. moju'!$D$24+I15*'Eeldused SotsMajand. moju'!$E$24+I16*'Eeldused SotsMajand. moju'!$F$24</f>
        <v>5280000</v>
      </c>
      <c r="J18" s="443">
        <f>J12*'Eeldused SotsMajand. moju'!$B$24+J13*'Eeldused SotsMajand. moju'!$C$24+J14*'Eeldused SotsMajand. moju'!$D$24+J15*'Eeldused SotsMajand. moju'!$E$24+J16*'Eeldused SotsMajand. moju'!$F$24</f>
        <v>8880000</v>
      </c>
      <c r="K18" s="443">
        <f>K12*'Eeldused SotsMajand. moju'!$B$24+K13*'Eeldused SotsMajand. moju'!$C$24+K14*'Eeldused SotsMajand. moju'!$D$24+K15*'Eeldused SotsMajand. moju'!$E$24+K16*'Eeldused SotsMajand. moju'!$F$24</f>
        <v>13560000</v>
      </c>
      <c r="L18" s="443">
        <f>L12*'Eeldused SotsMajand. moju'!$B$24+L13*'Eeldused SotsMajand. moju'!$C$24+L14*'Eeldused SotsMajand. moju'!$D$24+L15*'Eeldused SotsMajand. moju'!$E$24+L16*'Eeldused SotsMajand. moju'!$F$24</f>
        <v>18480000</v>
      </c>
      <c r="M18" s="443">
        <f>M12*'Eeldused SotsMajand. moju'!$B$24+M13*'Eeldused SotsMajand. moju'!$C$24+M14*'Eeldused SotsMajand. moju'!$D$24+M15*'Eeldused SotsMajand. moju'!$E$24+M16*'Eeldused SotsMajand. moju'!$F$24</f>
        <v>23400000</v>
      </c>
      <c r="N18" s="443">
        <f>N12*'Eeldused SotsMajand. moju'!$B$24+N13*'Eeldused SotsMajand. moju'!$C$24+N14*'Eeldused SotsMajand. moju'!$D$24+N15*'Eeldused SotsMajand. moju'!$E$24+N16*'Eeldused SotsMajand. moju'!$F$24</f>
        <v>29400000</v>
      </c>
      <c r="O18" s="443">
        <f>O12*'Eeldused SotsMajand. moju'!$B$24+O13*'Eeldused SotsMajand. moju'!$C$24+O14*'Eeldused SotsMajand. moju'!$D$24+O15*'Eeldused SotsMajand. moju'!$E$24+O16*'Eeldused SotsMajand. moju'!$F$24</f>
        <v>37080000</v>
      </c>
      <c r="P18" s="443">
        <f>P12*'Eeldused SotsMajand. moju'!$B$24+P13*'Eeldused SotsMajand. moju'!$C$24+P14*'Eeldused SotsMajand. moju'!$D$24+P15*'Eeldused SotsMajand. moju'!$E$24+P16*'Eeldused SotsMajand. moju'!$F$24</f>
        <v>41760000</v>
      </c>
      <c r="Q18" s="443">
        <f>Q12*'Eeldused SotsMajand. moju'!$B$24+Q13*'Eeldused SotsMajand. moju'!$C$24+Q14*'Eeldused SotsMajand. moju'!$D$24+Q15*'Eeldused SotsMajand. moju'!$E$24+Q16*'Eeldused SotsMajand. moju'!$F$24</f>
        <v>56040000</v>
      </c>
      <c r="R18" s="443">
        <f>R12*'Eeldused SotsMajand. moju'!$B$24+R13*'Eeldused SotsMajand. moju'!$C$24+R14*'Eeldused SotsMajand. moju'!$D$24+R15*'Eeldused SotsMajand. moju'!$E$24+R16*'Eeldused SotsMajand. moju'!$F$24</f>
        <v>67320000</v>
      </c>
      <c r="S18" s="443">
        <f>S12*'Eeldused SotsMajand. moju'!$B$24+S13*'Eeldused SotsMajand. moju'!$C$24+S14*'Eeldused SotsMajand. moju'!$D$24+S15*'Eeldused SotsMajand. moju'!$E$24+S16*'Eeldused SotsMajand. moju'!$F$24</f>
        <v>83160000</v>
      </c>
      <c r="T18" s="443">
        <f>T12*'Eeldused SotsMajand. moju'!$B$24+T13*'Eeldused SotsMajand. moju'!$C$24+T14*'Eeldused SotsMajand. moju'!$D$24+T15*'Eeldused SotsMajand. moju'!$E$24+T16*'Eeldused SotsMajand. moju'!$F$24</f>
        <v>87600000</v>
      </c>
      <c r="U18" s="386">
        <f>SUM(E18:T18)</f>
        <v>477000000</v>
      </c>
      <c r="V18" s="372"/>
      <c r="W18" s="443">
        <f>I18</f>
        <v>5280000</v>
      </c>
      <c r="X18" s="443">
        <f>K18</f>
        <v>13560000</v>
      </c>
      <c r="Y18" s="443">
        <f>P18</f>
        <v>41760000</v>
      </c>
      <c r="Z18" s="443">
        <f>S18</f>
        <v>83160000</v>
      </c>
      <c r="AA18" s="372"/>
      <c r="AB18" s="372"/>
      <c r="AC18" s="372"/>
      <c r="AD18" s="372"/>
      <c r="AE18" s="372"/>
      <c r="AF18" s="372"/>
      <c r="AG18" s="372"/>
      <c r="AH18" s="372"/>
      <c r="AI18" s="372"/>
    </row>
    <row r="19" spans="1:35" x14ac:dyDescent="0.3">
      <c r="A19" s="437" t="s">
        <v>379</v>
      </c>
      <c r="B19" s="444"/>
      <c r="C19" s="441"/>
      <c r="D19" s="435" t="s">
        <v>490</v>
      </c>
      <c r="E19" s="442"/>
      <c r="F19" s="442"/>
      <c r="G19" s="443">
        <f>G12*'Eeldused SotsMajand. moju'!$B$24*'Eeldused SotsMajand. moju'!$B$27+G13*'Eeldused SotsMajand. moju'!$C$24*'Eeldused SotsMajand. moju'!$C$27+G14*'Eeldused SotsMajand. moju'!$D$24*'Eeldused SotsMajand. moju'!$D$27+G15*'Eeldused SotsMajand. moju'!$E$24*'Eeldused SotsMajand. moju'!$E$27+G16*'Eeldused SotsMajand. moju'!$F$24*'Eeldused SotsMajand. moju'!$F$27</f>
        <v>840000</v>
      </c>
      <c r="H19" s="443">
        <f>H12*'Eeldused SotsMajand. moju'!$B$24*'Eeldused SotsMajand. moju'!$B$27+H13*'Eeldused SotsMajand. moju'!$C$24*'Eeldused SotsMajand. moju'!$C$27+H14*'Eeldused SotsMajand. moju'!$D$24*'Eeldused SotsMajand. moju'!$D$27+H15*'Eeldused SotsMajand. moju'!$E$24*'Eeldused SotsMajand. moju'!$E$27+H16*'Eeldused SotsMajand. moju'!$F$24*'Eeldused SotsMajand. moju'!$F$27</f>
        <v>1680000</v>
      </c>
      <c r="I19" s="443">
        <f>I12*'Eeldused SotsMajand. moju'!$B$24*'Eeldused SotsMajand. moju'!$B$27+I13*'Eeldused SotsMajand. moju'!$C$24*'Eeldused SotsMajand. moju'!$C$27+I14*'Eeldused SotsMajand. moju'!$D$24*'Eeldused SotsMajand. moju'!$D$27+I15*'Eeldused SotsMajand. moju'!$E$24*'Eeldused SotsMajand. moju'!$E$27+I16*'Eeldused SotsMajand. moju'!$F$24*'Eeldused SotsMajand. moju'!$F$27</f>
        <v>2640000</v>
      </c>
      <c r="J19" s="443">
        <f>J12*'Eeldused SotsMajand. moju'!$B$24*'Eeldused SotsMajand. moju'!$B$27+J13*'Eeldused SotsMajand. moju'!$C$24*'Eeldused SotsMajand. moju'!$C$27+J14*'Eeldused SotsMajand. moju'!$D$24*'Eeldused SotsMajand. moju'!$D$27+J15*'Eeldused SotsMajand. moju'!$E$24*'Eeldused SotsMajand. moju'!$E$27+J16*'Eeldused SotsMajand. moju'!$F$24*'Eeldused SotsMajand. moju'!$F$27</f>
        <v>5784000</v>
      </c>
      <c r="K19" s="443">
        <f>K12*'Eeldused SotsMajand. moju'!$B$24*'Eeldused SotsMajand. moju'!$B$27+K13*'Eeldused SotsMajand. moju'!$C$24*'Eeldused SotsMajand. moju'!$C$27+K14*'Eeldused SotsMajand. moju'!$D$24*'Eeldused SotsMajand. moju'!$D$27+K15*'Eeldused SotsMajand. moju'!$E$24*'Eeldused SotsMajand. moju'!$E$27+K16*'Eeldused SotsMajand. moju'!$F$24*'Eeldused SotsMajand. moju'!$F$27</f>
        <v>9468000</v>
      </c>
      <c r="L19" s="443">
        <f>L12*'Eeldused SotsMajand. moju'!$B$24*'Eeldused SotsMajand. moju'!$B$27+L13*'Eeldused SotsMajand. moju'!$C$24*'Eeldused SotsMajand. moju'!$C$27+L14*'Eeldused SotsMajand. moju'!$D$24*'Eeldused SotsMajand. moju'!$D$27+L15*'Eeldused SotsMajand. moju'!$E$24*'Eeldused SotsMajand. moju'!$E$27+L16*'Eeldused SotsMajand. moju'!$F$24*'Eeldused SotsMajand. moju'!$F$27</f>
        <v>13464000</v>
      </c>
      <c r="M19" s="443">
        <f>M12*'Eeldused SotsMajand. moju'!$B$24*'Eeldused SotsMajand. moju'!$B$27+M13*'Eeldused SotsMajand. moju'!$C$24*'Eeldused SotsMajand. moju'!$C$27+M14*'Eeldused SotsMajand. moju'!$D$24*'Eeldused SotsMajand. moju'!$D$27+M15*'Eeldused SotsMajand. moju'!$E$24*'Eeldused SotsMajand. moju'!$E$27+M16*'Eeldused SotsMajand. moju'!$F$24*'Eeldused SotsMajand. moju'!$F$27</f>
        <v>17460000</v>
      </c>
      <c r="N19" s="443">
        <f>N12*'Eeldused SotsMajand. moju'!$B$24*'Eeldused SotsMajand. moju'!$B$27+N13*'Eeldused SotsMajand. moju'!$C$24*'Eeldused SotsMajand. moju'!$C$27+N14*'Eeldused SotsMajand. moju'!$D$24*'Eeldused SotsMajand. moju'!$D$27+N15*'Eeldused SotsMajand. moju'!$E$24*'Eeldused SotsMajand. moju'!$E$27+N16*'Eeldused SotsMajand. moju'!$F$24*'Eeldused SotsMajand. moju'!$F$27</f>
        <v>22860000</v>
      </c>
      <c r="O19" s="443">
        <f>O12*'Eeldused SotsMajand. moju'!$B$24*'Eeldused SotsMajand. moju'!$B$27+O13*'Eeldused SotsMajand. moju'!$C$24*'Eeldused SotsMajand. moju'!$C$27+O14*'Eeldused SotsMajand. moju'!$D$24*'Eeldused SotsMajand. moju'!$D$27+O15*'Eeldused SotsMajand. moju'!$E$24*'Eeldused SotsMajand. moju'!$E$27+O16*'Eeldused SotsMajand. moju'!$F$24*'Eeldused SotsMajand. moju'!$F$27</f>
        <v>29772000</v>
      </c>
      <c r="P19" s="443">
        <f>P12*'Eeldused SotsMajand. moju'!$B$24*'Eeldused SotsMajand. moju'!$B$27+P13*'Eeldused SotsMajand. moju'!$C$24*'Eeldused SotsMajand. moju'!$C$27+P14*'Eeldused SotsMajand. moju'!$D$24*'Eeldused SotsMajand. moju'!$D$27+P15*'Eeldused SotsMajand. moju'!$E$24*'Eeldused SotsMajand. moju'!$E$27+P16*'Eeldused SotsMajand. moju'!$F$24*'Eeldused SotsMajand. moju'!$F$27</f>
        <v>35184000</v>
      </c>
      <c r="Q19" s="443">
        <f>Q12*'Eeldused SotsMajand. moju'!$B$24*'Eeldused SotsMajand. moju'!$B$27+Q13*'Eeldused SotsMajand. moju'!$C$24*'Eeldused SotsMajand. moju'!$C$27+Q14*'Eeldused SotsMajand. moju'!$D$24*'Eeldused SotsMajand. moju'!$D$27+Q15*'Eeldused SotsMajand. moju'!$E$24*'Eeldused SotsMajand. moju'!$E$27+Q16*'Eeldused SotsMajand. moju'!$F$24*'Eeldused SotsMajand. moju'!$F$27</f>
        <v>46836000</v>
      </c>
      <c r="R19" s="443">
        <f>R12*'Eeldused SotsMajand. moju'!$B$24*'Eeldused SotsMajand. moju'!$B$27+R13*'Eeldused SotsMajand. moju'!$C$24*'Eeldused SotsMajand. moju'!$C$27+R14*'Eeldused SotsMajand. moju'!$D$24*'Eeldused SotsMajand. moju'!$D$27+R15*'Eeldused SotsMajand. moju'!$E$24*'Eeldused SotsMajand. moju'!$E$27+R16*'Eeldused SotsMajand. moju'!$F$24*'Eeldused SotsMajand. moju'!$F$27</f>
        <v>56988000</v>
      </c>
      <c r="S19" s="443">
        <f>S12*'Eeldused SotsMajand. moju'!$B$24*'Eeldused SotsMajand. moju'!$B$27+S13*'Eeldused SotsMajand. moju'!$C$24*'Eeldused SotsMajand. moju'!$C$27+S14*'Eeldused SotsMajand. moju'!$D$24*'Eeldused SotsMajand. moju'!$D$27+S15*'Eeldused SotsMajand. moju'!$E$24*'Eeldused SotsMajand. moju'!$E$27+S16*'Eeldused SotsMajand. moju'!$F$24*'Eeldused SotsMajand. moju'!$F$27</f>
        <v>71244000</v>
      </c>
      <c r="T19" s="443">
        <f>T12*'Eeldused SotsMajand. moju'!$B$24*'Eeldused SotsMajand. moju'!$B$27+T13*'Eeldused SotsMajand. moju'!$C$24*'Eeldused SotsMajand. moju'!$C$27+T14*'Eeldused SotsMajand. moju'!$D$24*'Eeldused SotsMajand. moju'!$D$27+T15*'Eeldused SotsMajand. moju'!$E$24*'Eeldused SotsMajand. moju'!$E$27+T16*'Eeldused SotsMajand. moju'!$F$24*'Eeldused SotsMajand. moju'!$F$27</f>
        <v>75240000</v>
      </c>
      <c r="U19" s="386">
        <f>SUM(E19:T19)</f>
        <v>389460000</v>
      </c>
      <c r="V19" s="372"/>
      <c r="W19" s="386">
        <f>SUM($G19:I19)</f>
        <v>5160000</v>
      </c>
      <c r="X19" s="386">
        <f>SUM($G19:K19)</f>
        <v>20412000</v>
      </c>
      <c r="Y19" s="386">
        <f>SUM($G19:P19)</f>
        <v>139152000</v>
      </c>
      <c r="Z19" s="386">
        <f>SUM($G19:S19)</f>
        <v>314220000</v>
      </c>
      <c r="AA19" s="372"/>
      <c r="AB19" s="372"/>
      <c r="AC19" s="372"/>
      <c r="AD19" s="372"/>
      <c r="AE19" s="372"/>
      <c r="AF19" s="372"/>
      <c r="AG19" s="372"/>
      <c r="AH19" s="372"/>
      <c r="AI19" s="372"/>
    </row>
    <row r="20" spans="1:35" x14ac:dyDescent="0.3">
      <c r="A20" s="437" t="s">
        <v>377</v>
      </c>
      <c r="B20" s="440"/>
      <c r="C20" s="441"/>
      <c r="D20" s="435" t="s">
        <v>490</v>
      </c>
      <c r="E20" s="442"/>
      <c r="F20" s="442"/>
      <c r="G20" s="442">
        <f>G12*'Eeldused SotsMajand. moju'!$B$24*'Eeldused SotsMajand. moju'!$B$30+G13*'Eeldused SotsMajand. moju'!$C$24*'Eeldused SotsMajand. moju'!$C$30+G14*'Eeldused SotsMajand. moju'!$D$24*'Eeldused SotsMajand. moju'!$D$30+G15*'Eeldused SotsMajand. moju'!$E$24*'Eeldused SotsMajand. moju'!$E$30+G16*'Eeldused SotsMajand. moju'!$F$24*'Eeldused SotsMajand. moju'!$F$30</f>
        <v>613410.0940318557</v>
      </c>
      <c r="H20" s="442">
        <f>H12*'Eeldused SotsMajand. moju'!$B$24*'Eeldused SotsMajand. moju'!$B$30+H13*'Eeldused SotsMajand. moju'!$C$24*'Eeldused SotsMajand. moju'!$C$30+H14*'Eeldused SotsMajand. moju'!$D$24*'Eeldused SotsMajand. moju'!$D$30+H15*'Eeldused SotsMajand. moju'!$E$24*'Eeldused SotsMajand. moju'!$E$30+H16*'Eeldused SotsMajand. moju'!$F$24*'Eeldused SotsMajand. moju'!$F$30</f>
        <v>1226820.1880637114</v>
      </c>
      <c r="I20" s="442">
        <f>I12*'Eeldused SotsMajand. moju'!$B$24*'Eeldused SotsMajand. moju'!$B$30+I13*'Eeldused SotsMajand. moju'!$C$24*'Eeldused SotsMajand. moju'!$C$30+I14*'Eeldused SotsMajand. moju'!$D$24*'Eeldused SotsMajand. moju'!$D$30+I15*'Eeldused SotsMajand. moju'!$E$24*'Eeldused SotsMajand. moju'!$E$30+I16*'Eeldused SotsMajand. moju'!$F$24*'Eeldused SotsMajand. moju'!$F$30</f>
        <v>1927860.2955286892</v>
      </c>
      <c r="J20" s="442">
        <f>J12*'Eeldused SotsMajand. moju'!$B$24*'Eeldused SotsMajand. moju'!$B$30+J13*'Eeldused SotsMajand. moju'!$C$24*'Eeldused SotsMajand. moju'!$C$30+J14*'Eeldused SotsMajand. moju'!$D$24*'Eeldused SotsMajand. moju'!$D$30+J15*'Eeldused SotsMajand. moju'!$E$24*'Eeldused SotsMajand. moju'!$E$30+J16*'Eeldused SotsMajand. moju'!$F$24*'Eeldused SotsMajand. moju'!$F$30</f>
        <v>3242310.4970255229</v>
      </c>
      <c r="K20" s="442">
        <f>K12*'Eeldused SotsMajand. moju'!$B$24*'Eeldused SotsMajand. moju'!$B$30+K13*'Eeldused SotsMajand. moju'!$C$24*'Eeldused SotsMajand. moju'!$C$30+K14*'Eeldused SotsMajand. moju'!$D$24*'Eeldused SotsMajand. moju'!$D$30+K15*'Eeldused SotsMajand. moju'!$E$24*'Eeldused SotsMajand. moju'!$E$30+K16*'Eeldused SotsMajand. moju'!$F$24*'Eeldused SotsMajand. moju'!$F$30</f>
        <v>4951095.7589714071</v>
      </c>
      <c r="L20" s="442">
        <f>L12*'Eeldused SotsMajand. moju'!$B$24*'Eeldused SotsMajand. moju'!$B$30+L13*'Eeldused SotsMajand. moju'!$C$24*'Eeldused SotsMajand. moju'!$C$30+L14*'Eeldused SotsMajand. moju'!$D$24*'Eeldused SotsMajand. moju'!$D$30+L15*'Eeldused SotsMajand. moju'!$E$24*'Eeldused SotsMajand. moju'!$E$30+L16*'Eeldused SotsMajand. moju'!$F$24*'Eeldused SotsMajand. moju'!$F$30</f>
        <v>6747511.034350412</v>
      </c>
      <c r="M20" s="442">
        <f>M12*'Eeldused SotsMajand. moju'!$B$24*'Eeldused SotsMajand. moju'!$B$30+M13*'Eeldused SotsMajand. moju'!$C$24*'Eeldused SotsMajand. moju'!$C$30+M14*'Eeldused SotsMajand. moju'!$D$24*'Eeldused SotsMajand. moju'!$D$30+M15*'Eeldused SotsMajand. moju'!$E$24*'Eeldused SotsMajand. moju'!$E$30+M16*'Eeldused SotsMajand. moju'!$F$24*'Eeldused SotsMajand. moju'!$F$30</f>
        <v>8543926.3097294196</v>
      </c>
      <c r="N20" s="442">
        <f>N12*'Eeldused SotsMajand. moju'!$B$24*'Eeldused SotsMajand. moju'!$B$30+N13*'Eeldused SotsMajand. moju'!$C$24*'Eeldused SotsMajand. moju'!$C$30+N14*'Eeldused SotsMajand. moju'!$D$24*'Eeldused SotsMajand. moju'!$D$30+N15*'Eeldused SotsMajand. moju'!$E$24*'Eeldused SotsMajand. moju'!$E$30+N16*'Eeldused SotsMajand. moju'!$F$24*'Eeldused SotsMajand. moju'!$F$30</f>
        <v>10734676.645557474</v>
      </c>
      <c r="O20" s="442">
        <f>O12*'Eeldused SotsMajand. moju'!$B$24*'Eeldused SotsMajand. moju'!$B$30+O13*'Eeldused SotsMajand. moju'!$C$24*'Eeldused SotsMajand. moju'!$C$30+O14*'Eeldused SotsMajand. moju'!$D$24*'Eeldused SotsMajand. moju'!$D$30+O15*'Eeldused SotsMajand. moju'!$E$24*'Eeldused SotsMajand. moju'!$E$30+O16*'Eeldused SotsMajand. moju'!$F$24*'Eeldused SotsMajand. moju'!$F$30</f>
        <v>13538837.075417385</v>
      </c>
      <c r="P20" s="442">
        <f>P12*'Eeldused SotsMajand. moju'!$B$24*'Eeldused SotsMajand. moju'!$B$30+P13*'Eeldused SotsMajand. moju'!$C$24*'Eeldused SotsMajand. moju'!$C$30+P14*'Eeldused SotsMajand. moju'!$D$24*'Eeldused SotsMajand. moju'!$D$30+P15*'Eeldused SotsMajand. moju'!$E$24*'Eeldused SotsMajand. moju'!$E$30+P16*'Eeldused SotsMajand. moju'!$F$24*'Eeldused SotsMajand. moju'!$F$30</f>
        <v>15247622.337363269</v>
      </c>
      <c r="Q20" s="442">
        <f>Q12*'Eeldused SotsMajand. moju'!$B$24*'Eeldused SotsMajand. moju'!$B$30+Q13*'Eeldused SotsMajand. moju'!$C$24*'Eeldused SotsMajand. moju'!$C$30+Q14*'Eeldused SotsMajand. moju'!$D$24*'Eeldused SotsMajand. moju'!$D$30+Q15*'Eeldused SotsMajand. moju'!$E$24*'Eeldused SotsMajand. moju'!$E$30+Q16*'Eeldused SotsMajand. moju'!$F$24*'Eeldused SotsMajand. moju'!$F$30</f>
        <v>20461608.136634041</v>
      </c>
      <c r="R20" s="442">
        <f>R12*'Eeldused SotsMajand. moju'!$B$24*'Eeldused SotsMajand. moju'!$B$30+R13*'Eeldused SotsMajand. moju'!$C$24*'Eeldused SotsMajand. moju'!$C$30+R14*'Eeldused SotsMajand. moju'!$D$24*'Eeldused SotsMajand. moju'!$D$30+R15*'Eeldused SotsMajand. moju'!$E$24*'Eeldused SotsMajand. moju'!$E$30+R16*'Eeldused SotsMajand. moju'!$F$24*'Eeldused SotsMajand. moju'!$F$30</f>
        <v>24580218.76799079</v>
      </c>
      <c r="S20" s="442">
        <f>S12*'Eeldused SotsMajand. moju'!$B$24*'Eeldused SotsMajand. moju'!$B$30+S13*'Eeldused SotsMajand. moju'!$C$24*'Eeldused SotsMajand. moju'!$C$30+S14*'Eeldused SotsMajand. moju'!$D$24*'Eeldused SotsMajand. moju'!$D$30+S15*'Eeldused SotsMajand. moju'!$E$24*'Eeldused SotsMajand. moju'!$E$30+S16*'Eeldused SotsMajand. moju'!$F$24*'Eeldused SotsMajand. moju'!$F$30</f>
        <v>30363799.654576853</v>
      </c>
      <c r="T20" s="442">
        <f>T12*'Eeldused SotsMajand. moju'!$B$24*'Eeldused SotsMajand. moju'!$B$30+T13*'Eeldused SotsMajand. moju'!$C$24*'Eeldused SotsMajand. moju'!$C$30+T14*'Eeldused SotsMajand. moju'!$D$24*'Eeldused SotsMajand. moju'!$D$30+T15*'Eeldused SotsMajand. moju'!$E$24*'Eeldused SotsMajand. moju'!$E$30+T16*'Eeldused SotsMajand. moju'!$F$24*'Eeldused SotsMajand. moju'!$F$30</f>
        <v>31984954.90308962</v>
      </c>
      <c r="U20" s="386">
        <f>SUM(E20:T20)</f>
        <v>174164651.69833043</v>
      </c>
      <c r="V20" s="372"/>
      <c r="W20" s="386">
        <f>SUM($G20:I20)</f>
        <v>3768090.5776242563</v>
      </c>
      <c r="X20" s="386">
        <f>SUM($G20:K20)</f>
        <v>11961496.833621185</v>
      </c>
      <c r="Y20" s="386">
        <f>SUM($G20:P20)</f>
        <v>66774070.236039147</v>
      </c>
      <c r="Z20" s="386">
        <f>SUM($G20:S20)</f>
        <v>142179696.79524082</v>
      </c>
      <c r="AA20" s="372"/>
      <c r="AB20" s="372"/>
      <c r="AC20" s="372"/>
      <c r="AD20" s="372"/>
      <c r="AE20" s="372"/>
      <c r="AF20" s="372"/>
      <c r="AG20" s="372"/>
      <c r="AH20" s="372"/>
      <c r="AI20" s="372"/>
    </row>
    <row r="21" spans="1:35" x14ac:dyDescent="0.3">
      <c r="A21" s="452" t="s">
        <v>380</v>
      </c>
      <c r="B21" s="436"/>
      <c r="C21" s="436"/>
      <c r="D21" s="435" t="s">
        <v>492</v>
      </c>
      <c r="E21" s="440"/>
      <c r="F21" s="440"/>
      <c r="G21" s="440">
        <f>G12*'Eeldused SotsMajand. moju'!$B$18+G13*'Eeldused SotsMajand. moju'!$C$18+G14*'Eeldused SotsMajand. moju'!$D$18+G15*'Eeldused SotsMajand. moju'!$E$18+G16*'Eeldused SotsMajand. moju'!$F$18</f>
        <v>19.32</v>
      </c>
      <c r="H21" s="440">
        <f>H12*'Eeldused SotsMajand. moju'!$B$18+H13*'Eeldused SotsMajand. moju'!$C$18+H14*'Eeldused SotsMajand. moju'!$D$18+H15*'Eeldused SotsMajand. moju'!$E$18+H16*'Eeldused SotsMajand. moju'!$F$18</f>
        <v>38.64</v>
      </c>
      <c r="I21" s="440">
        <f>I12*'Eeldused SotsMajand. moju'!$B$18+I13*'Eeldused SotsMajand. moju'!$C$18+I14*'Eeldused SotsMajand. moju'!$D$18+I15*'Eeldused SotsMajand. moju'!$E$18+I16*'Eeldused SotsMajand. moju'!$F$18</f>
        <v>60.719999999999992</v>
      </c>
      <c r="J21" s="440">
        <f>J12*'Eeldused SotsMajand. moju'!$B$18+J13*'Eeldused SotsMajand. moju'!$C$18+J14*'Eeldused SotsMajand. moju'!$D$18+J15*'Eeldused SotsMajand. moju'!$E$18+J16*'Eeldused SotsMajand. moju'!$F$18</f>
        <v>94.391999999999996</v>
      </c>
      <c r="K21" s="440">
        <f>K12*'Eeldused SotsMajand. moju'!$B$18+K13*'Eeldused SotsMajand. moju'!$C$18+K14*'Eeldused SotsMajand. moju'!$D$18+K15*'Eeldused SotsMajand. moju'!$E$18+K16*'Eeldused SotsMajand. moju'!$F$18</f>
        <v>140.48400000000001</v>
      </c>
      <c r="L21" s="440">
        <f>L12*'Eeldused SotsMajand. moju'!$B$18+L13*'Eeldused SotsMajand. moju'!$C$18+L14*'Eeldused SotsMajand. moju'!$D$18+L15*'Eeldused SotsMajand. moju'!$E$18+L16*'Eeldused SotsMajand. moju'!$F$18</f>
        <v>188.232</v>
      </c>
      <c r="M21" s="440">
        <f>M12*'Eeldused SotsMajand. moju'!$B$18+M13*'Eeldused SotsMajand. moju'!$C$18+M14*'Eeldused SotsMajand. moju'!$D$18+M15*'Eeldused SotsMajand. moju'!$E$18+M16*'Eeldused SotsMajand. moju'!$F$18</f>
        <v>235.98000000000002</v>
      </c>
      <c r="N21" s="440">
        <f>N12*'Eeldused SotsMajand. moju'!$B$18+N13*'Eeldused SotsMajand. moju'!$C$18+N14*'Eeldused SotsMajand. moju'!$D$18+N15*'Eeldused SotsMajand. moju'!$E$18+N16*'Eeldused SotsMajand. moju'!$F$18</f>
        <v>291.18</v>
      </c>
      <c r="O21" s="440">
        <f>O12*'Eeldused SotsMajand. moju'!$B$18+O13*'Eeldused SotsMajand. moju'!$C$18+O14*'Eeldused SotsMajand. moju'!$D$18+O15*'Eeldused SotsMajand. moju'!$E$18+O16*'Eeldused SotsMajand. moju'!$F$18</f>
        <v>354.10799999999995</v>
      </c>
      <c r="P21" s="440">
        <f>P12*'Eeldused SotsMajand. moju'!$B$18+P13*'Eeldused SotsMajand. moju'!$C$18+P14*'Eeldused SotsMajand. moju'!$D$18+P15*'Eeldused SotsMajand. moju'!$E$18+P16*'Eeldused SotsMajand. moju'!$F$18</f>
        <v>382.53600000000006</v>
      </c>
      <c r="Q21" s="440">
        <f>Q12*'Eeldused SotsMajand. moju'!$B$18+Q13*'Eeldused SotsMajand. moju'!$C$18+Q14*'Eeldused SotsMajand. moju'!$D$18+Q15*'Eeldused SotsMajand. moju'!$E$18+Q16*'Eeldused SotsMajand. moju'!$F$18</f>
        <v>500.38800000000003</v>
      </c>
      <c r="R21" s="440">
        <f>R12*'Eeldused SotsMajand. moju'!$B$18+R13*'Eeldused SotsMajand. moju'!$C$18+R14*'Eeldused SotsMajand. moju'!$D$18+R15*'Eeldused SotsMajand. moju'!$E$18+R16*'Eeldused SotsMajand. moju'!$F$18</f>
        <v>583.74</v>
      </c>
      <c r="S21" s="440">
        <f>S12*'Eeldused SotsMajand. moju'!$B$18+S13*'Eeldused SotsMajand. moju'!$C$18+S14*'Eeldused SotsMajand. moju'!$D$18+S15*'Eeldused SotsMajand. moju'!$E$18+S16*'Eeldused SotsMajand. moju'!$F$18</f>
        <v>688.61999999999989</v>
      </c>
      <c r="T21" s="440">
        <f>T12*'Eeldused SotsMajand. moju'!$B$18+T13*'Eeldused SotsMajand. moju'!$C$18+T14*'Eeldused SotsMajand. moju'!$D$18+T15*'Eeldused SotsMajand. moju'!$E$18+T16*'Eeldused SotsMajand. moju'!$F$18</f>
        <v>721.74</v>
      </c>
      <c r="U21" s="587">
        <f>T21</f>
        <v>721.74</v>
      </c>
      <c r="V21" s="372"/>
      <c r="W21" s="384">
        <f>I21</f>
        <v>60.719999999999992</v>
      </c>
      <c r="X21" s="384">
        <f>K21</f>
        <v>140.48400000000001</v>
      </c>
      <c r="Y21" s="384">
        <f>P21</f>
        <v>382.53600000000006</v>
      </c>
      <c r="Z21" s="384">
        <f>S21</f>
        <v>688.61999999999989</v>
      </c>
      <c r="AA21" s="372"/>
      <c r="AB21" s="372"/>
      <c r="AC21" s="372"/>
      <c r="AD21" s="372"/>
      <c r="AE21" s="372"/>
      <c r="AF21" s="372"/>
      <c r="AG21" s="372"/>
      <c r="AH21" s="372"/>
      <c r="AI21" s="372"/>
    </row>
    <row r="22" spans="1:35" x14ac:dyDescent="0.3">
      <c r="A22" s="437" t="s">
        <v>381</v>
      </c>
      <c r="B22" s="445"/>
      <c r="C22" s="441"/>
      <c r="D22" s="435" t="s">
        <v>490</v>
      </c>
      <c r="E22" s="442">
        <f t="shared" ref="E22:F22" si="13">E21*$B$22*12</f>
        <v>0</v>
      </c>
      <c r="F22" s="442">
        <f t="shared" si="13"/>
        <v>0</v>
      </c>
      <c r="G22" s="442">
        <f>(G12*'Eeldused SotsMajand. moju'!$B$18*'Eeldused SotsMajand. moju'!$B$21+G13*'Eeldused SotsMajand. moju'!$C$18*'Eeldused SotsMajand. moju'!$C$21+G14*'Eeldused SotsMajand. moju'!$D$18*'Eeldused SotsMajand. moju'!$D$21+G15*'Eeldused SotsMajand. moju'!$E$18*'Eeldused SotsMajand. moju'!$E$21+G16*'Eeldused SotsMajand. moju'!$F$18*'Eeldused SotsMajand. moju'!$F$21)*12</f>
        <v>320634.72000000003</v>
      </c>
      <c r="H22" s="442">
        <f>(H12*'Eeldused SotsMajand. moju'!$B$18*'Eeldused SotsMajand. moju'!$B$21+H13*'Eeldused SotsMajand. moju'!$C$18*'Eeldused SotsMajand. moju'!$C$21+H14*'Eeldused SotsMajand. moju'!$D$18*'Eeldused SotsMajand. moju'!$D$21+H15*'Eeldused SotsMajand. moju'!$E$18*'Eeldused SotsMajand. moju'!$E$21+H16*'Eeldused SotsMajand. moju'!$F$18*'Eeldused SotsMajand. moju'!$F$21)*12</f>
        <v>641269.44000000006</v>
      </c>
      <c r="I22" s="442">
        <f>(I12*'Eeldused SotsMajand. moju'!$B$18*'Eeldused SotsMajand. moju'!$B$21+I13*'Eeldused SotsMajand. moju'!$C$18*'Eeldused SotsMajand. moju'!$C$21+I14*'Eeldused SotsMajand. moju'!$D$18*'Eeldused SotsMajand. moju'!$D$21+I15*'Eeldused SotsMajand. moju'!$E$18*'Eeldused SotsMajand. moju'!$E$21+I16*'Eeldused SotsMajand. moju'!$F$18*'Eeldused SotsMajand. moju'!$F$21)*12</f>
        <v>1007709.1199999999</v>
      </c>
      <c r="J22" s="442">
        <f>(J12*'Eeldused SotsMajand. moju'!$B$18*'Eeldused SotsMajand. moju'!$B$21+J13*'Eeldused SotsMajand. moju'!$C$18*'Eeldused SotsMajand. moju'!$C$21+J14*'Eeldused SotsMajand. moju'!$D$18*'Eeldused SotsMajand. moju'!$D$21+J15*'Eeldused SotsMajand. moju'!$E$18*'Eeldused SotsMajand. moju'!$E$21+J16*'Eeldused SotsMajand. moju'!$F$18*'Eeldused SotsMajand. moju'!$F$21)*12</f>
        <v>1976942.0736</v>
      </c>
      <c r="K22" s="442">
        <f>(K12*'Eeldused SotsMajand. moju'!$B$18*'Eeldused SotsMajand. moju'!$B$21+K13*'Eeldused SotsMajand. moju'!$C$18*'Eeldused SotsMajand. moju'!$C$21+K14*'Eeldused SotsMajand. moju'!$D$18*'Eeldused SotsMajand. moju'!$D$21+K15*'Eeldused SotsMajand. moju'!$E$18*'Eeldused SotsMajand. moju'!$E$21+K16*'Eeldused SotsMajand. moju'!$F$18*'Eeldused SotsMajand. moju'!$F$21)*12</f>
        <v>3152297.3471999997</v>
      </c>
      <c r="L22" s="442">
        <f>(L12*'Eeldused SotsMajand. moju'!$B$18*'Eeldused SotsMajand. moju'!$B$21+L13*'Eeldused SotsMajand. moju'!$C$18*'Eeldused SotsMajand. moju'!$C$21+L14*'Eeldused SotsMajand. moju'!$D$18*'Eeldused SotsMajand. moju'!$D$21+L15*'Eeldused SotsMajand. moju'!$E$18*'Eeldused SotsMajand. moju'!$E$21+L16*'Eeldused SotsMajand. moju'!$F$18*'Eeldused SotsMajand. moju'!$F$21)*12</f>
        <v>4598451.5443200003</v>
      </c>
      <c r="M22" s="442">
        <f>(M12*'Eeldused SotsMajand. moju'!$B$18*'Eeldused SotsMajand. moju'!$B$21+M13*'Eeldused SotsMajand. moju'!$C$18*'Eeldused SotsMajand. moju'!$C$21+M14*'Eeldused SotsMajand. moju'!$D$18*'Eeldused SotsMajand. moju'!$D$21+M15*'Eeldused SotsMajand. moju'!$E$18*'Eeldused SotsMajand. moju'!$E$21+M16*'Eeldused SotsMajand. moju'!$F$18*'Eeldused SotsMajand. moju'!$F$21)*12</f>
        <v>6044605.74144</v>
      </c>
      <c r="N22" s="442">
        <f>(N12*'Eeldused SotsMajand. moju'!$B$18*'Eeldused SotsMajand. moju'!$B$21+N13*'Eeldused SotsMajand. moju'!$C$18*'Eeldused SotsMajand. moju'!$C$21+N14*'Eeldused SotsMajand. moju'!$D$18*'Eeldused SotsMajand. moju'!$D$21+N15*'Eeldused SotsMajand. moju'!$E$18*'Eeldused SotsMajand. moju'!$E$21+N16*'Eeldused SotsMajand. moju'!$F$18*'Eeldused SotsMajand. moju'!$F$21)*12</f>
        <v>7904653.5571200009</v>
      </c>
      <c r="O22" s="442">
        <f>(O12*'Eeldused SotsMajand. moju'!$B$18*'Eeldused SotsMajand. moju'!$B$21+O13*'Eeldused SotsMajand. moju'!$C$18*'Eeldused SotsMajand. moju'!$C$21+O14*'Eeldused SotsMajand. moju'!$D$18*'Eeldused SotsMajand. moju'!$D$21+O15*'Eeldused SotsMajand. moju'!$E$18*'Eeldused SotsMajand. moju'!$E$21+O16*'Eeldused SotsMajand. moju'!$F$18*'Eeldused SotsMajand. moju'!$F$21)*12</f>
        <v>10318758.168959999</v>
      </c>
      <c r="P22" s="442">
        <f>(P12*'Eeldused SotsMajand. moju'!$B$18*'Eeldused SotsMajand. moju'!$B$21+P13*'Eeldused SotsMajand. moju'!$C$18*'Eeldused SotsMajand. moju'!$C$21+P14*'Eeldused SotsMajand. moju'!$D$18*'Eeldused SotsMajand. moju'!$D$21+P15*'Eeldused SotsMajand. moju'!$E$18*'Eeldused SotsMajand. moju'!$E$21+P16*'Eeldused SotsMajand. moju'!$F$18*'Eeldused SotsMajand. moju'!$F$21)*12</f>
        <v>12279027.237120001</v>
      </c>
      <c r="Q22" s="442">
        <f>(Q12*'Eeldused SotsMajand. moju'!$B$18*'Eeldused SotsMajand. moju'!$B$21+Q13*'Eeldused SotsMajand. moju'!$C$18*'Eeldused SotsMajand. moju'!$C$21+Q14*'Eeldused SotsMajand. moju'!$D$18*'Eeldused SotsMajand. moju'!$D$21+Q15*'Eeldused SotsMajand. moju'!$E$18*'Eeldused SotsMajand. moju'!$E$21+Q16*'Eeldused SotsMajand. moju'!$F$18*'Eeldused SotsMajand. moju'!$F$21)*12</f>
        <v>16294656.4704</v>
      </c>
      <c r="R22" s="442">
        <f>(R12*'Eeldused SotsMajand. moju'!$B$18*'Eeldused SotsMajand. moju'!$B$21+R13*'Eeldused SotsMajand. moju'!$C$18*'Eeldused SotsMajand. moju'!$C$21+R14*'Eeldused SotsMajand. moju'!$D$18*'Eeldused SotsMajand. moju'!$D$21+R15*'Eeldused SotsMajand. moju'!$E$18*'Eeldused SotsMajand. moju'!$E$21+R16*'Eeldused SotsMajand. moju'!$F$18*'Eeldused SotsMajand. moju'!$F$21)*12</f>
        <v>19737723.703680001</v>
      </c>
      <c r="S22" s="442">
        <f>(S12*'Eeldused SotsMajand. moju'!$B$18*'Eeldused SotsMajand. moju'!$B$21+S13*'Eeldused SotsMajand. moju'!$C$18*'Eeldused SotsMajand. moju'!$C$21+S14*'Eeldused SotsMajand. moju'!$D$18*'Eeldused SotsMajand. moju'!$D$21+S15*'Eeldused SotsMajand. moju'!$E$18*'Eeldused SotsMajand. moju'!$E$21+S16*'Eeldused SotsMajand. moju'!$F$18*'Eeldused SotsMajand. moju'!$F$21)*12</f>
        <v>24645083.89824</v>
      </c>
      <c r="T22" s="442">
        <f>(T12*'Eeldused SotsMajand. moju'!$B$18*'Eeldused SotsMajand. moju'!$B$21+T13*'Eeldused SotsMajand. moju'!$C$18*'Eeldused SotsMajand. moju'!$C$21+T14*'Eeldused SotsMajand. moju'!$D$18*'Eeldused SotsMajand. moju'!$D$21+T15*'Eeldused SotsMajand. moju'!$E$18*'Eeldused SotsMajand. moju'!$E$21+T16*'Eeldused SotsMajand. moju'!$F$18*'Eeldused SotsMajand. moju'!$F$21)*12</f>
        <v>26069801.374080002</v>
      </c>
      <c r="U22" s="386">
        <f t="shared" ref="U22:U28" si="14">SUM(E22:T22)</f>
        <v>134991614.39616001</v>
      </c>
      <c r="V22" s="372"/>
      <c r="W22" s="386">
        <f>SUM($G22:I22)</f>
        <v>1969613.28</v>
      </c>
      <c r="X22" s="386">
        <f>SUM($G22:K22)</f>
        <v>7098852.7007999998</v>
      </c>
      <c r="Y22" s="386">
        <f>SUM($G22:P22)</f>
        <v>48244348.949760005</v>
      </c>
      <c r="Z22" s="386">
        <f>SUM($G22:S22)</f>
        <v>108921813.02208</v>
      </c>
      <c r="AA22" s="372"/>
      <c r="AB22" s="372"/>
      <c r="AC22" s="372"/>
      <c r="AD22" s="372"/>
      <c r="AE22" s="372"/>
      <c r="AF22" s="372"/>
      <c r="AG22" s="372"/>
      <c r="AH22" s="372"/>
      <c r="AI22" s="372"/>
    </row>
    <row r="23" spans="1:35" x14ac:dyDescent="0.3">
      <c r="A23" s="437" t="s">
        <v>382</v>
      </c>
      <c r="B23" s="446">
        <v>0.33800000000000002</v>
      </c>
      <c r="C23" s="446"/>
      <c r="D23" s="435" t="s">
        <v>490</v>
      </c>
      <c r="E23" s="447">
        <v>0</v>
      </c>
      <c r="F23" s="447"/>
      <c r="G23" s="447">
        <f>$B$23*G22</f>
        <v>108374.53536000002</v>
      </c>
      <c r="H23" s="387">
        <f t="shared" ref="H23:S23" si="15">$B$23*H22</f>
        <v>216749.07072000005</v>
      </c>
      <c r="I23" s="387">
        <f t="shared" si="15"/>
        <v>340605.68255999999</v>
      </c>
      <c r="J23" s="387">
        <f t="shared" si="15"/>
        <v>668206.42087680008</v>
      </c>
      <c r="K23" s="387">
        <f t="shared" si="15"/>
        <v>1065476.5033535999</v>
      </c>
      <c r="L23" s="387">
        <f t="shared" si="15"/>
        <v>1554276.6219801602</v>
      </c>
      <c r="M23" s="387">
        <f t="shared" si="15"/>
        <v>2043076.7406067201</v>
      </c>
      <c r="N23" s="387">
        <f t="shared" si="15"/>
        <v>2671772.9023065604</v>
      </c>
      <c r="O23" s="387">
        <f t="shared" si="15"/>
        <v>3487740.2611084799</v>
      </c>
      <c r="P23" s="387">
        <f t="shared" si="15"/>
        <v>4150311.2061465606</v>
      </c>
      <c r="Q23" s="387">
        <f t="shared" si="15"/>
        <v>5507593.8869952001</v>
      </c>
      <c r="R23" s="387">
        <f t="shared" si="15"/>
        <v>6671350.6118438412</v>
      </c>
      <c r="S23" s="387">
        <f t="shared" si="15"/>
        <v>8330038.3576051202</v>
      </c>
      <c r="T23" s="387">
        <f t="shared" ref="T23" si="16">$B$23*T22</f>
        <v>8811592.8644390423</v>
      </c>
      <c r="U23" s="386">
        <f t="shared" si="14"/>
        <v>45627165.665902086</v>
      </c>
      <c r="V23" s="372"/>
      <c r="W23" s="386">
        <f>SUM($G23:I23)</f>
        <v>665729.28864000004</v>
      </c>
      <c r="X23" s="386">
        <f>SUM($G23:K23)</f>
        <v>2399412.2128703999</v>
      </c>
      <c r="Y23" s="386">
        <f>SUM($G23:P23)</f>
        <v>16306589.945018882</v>
      </c>
      <c r="Z23" s="386">
        <f>SUM($G23:S23)</f>
        <v>36815572.801463045</v>
      </c>
      <c r="AA23" s="372"/>
      <c r="AB23" s="372"/>
      <c r="AC23" s="372"/>
      <c r="AD23" s="372"/>
      <c r="AE23" s="372"/>
      <c r="AF23" s="372"/>
      <c r="AG23" s="372"/>
      <c r="AH23" s="372"/>
      <c r="AI23" s="372"/>
    </row>
    <row r="24" spans="1:35" x14ac:dyDescent="0.3">
      <c r="A24" s="437" t="s">
        <v>383</v>
      </c>
      <c r="B24" s="444">
        <v>0.22</v>
      </c>
      <c r="C24" s="444"/>
      <c r="D24" s="435" t="s">
        <v>490</v>
      </c>
      <c r="E24" s="447"/>
      <c r="F24" s="447"/>
      <c r="G24" s="447">
        <f>(G22/G21/12-G22*0.02/G21/12-500)*$B$24*12*G21</f>
        <v>43626.445631999995</v>
      </c>
      <c r="H24" s="387">
        <f t="shared" ref="H24:S24" si="17">(H22/H21/12-H22*0.02/H21/12-500)*$B$24*12*H21</f>
        <v>87252.891263999991</v>
      </c>
      <c r="I24" s="387">
        <f t="shared" si="17"/>
        <v>137111.68627199996</v>
      </c>
      <c r="J24" s="387">
        <f t="shared" si="17"/>
        <v>301631.27106815996</v>
      </c>
      <c r="K24" s="387">
        <f t="shared" si="17"/>
        <v>494196.42805631994</v>
      </c>
      <c r="L24" s="387">
        <f t="shared" si="17"/>
        <v>742959.91295539215</v>
      </c>
      <c r="M24" s="387">
        <f t="shared" si="17"/>
        <v>991723.39785446401</v>
      </c>
      <c r="N24" s="387">
        <f t="shared" si="17"/>
        <v>1319885.7069150722</v>
      </c>
      <c r="O24" s="387">
        <f t="shared" si="17"/>
        <v>1757301.701227776</v>
      </c>
      <c r="P24" s="387">
        <f t="shared" si="17"/>
        <v>2142410.7523230719</v>
      </c>
      <c r="Q24" s="387">
        <f t="shared" si="17"/>
        <v>2852615.7750182399</v>
      </c>
      <c r="R24" s="387">
        <f t="shared" si="17"/>
        <v>3484916.4305134085</v>
      </c>
      <c r="S24" s="387">
        <f t="shared" si="17"/>
        <v>4404501.6884605438</v>
      </c>
      <c r="T24" s="387">
        <f t="shared" ref="T24" si="18">(T22/T21/12-T22*0.02/T21/12-500)*$B$24*12*T21</f>
        <v>4667952.3762516491</v>
      </c>
      <c r="U24" s="386">
        <f>SUM(E24:T24)</f>
        <v>23428086.463812094</v>
      </c>
      <c r="V24" s="372"/>
      <c r="W24" s="386">
        <f>SUM($G24:I24)</f>
        <v>267991.02316799993</v>
      </c>
      <c r="X24" s="386">
        <f>SUM($G24:K24)</f>
        <v>1063818.7222924798</v>
      </c>
      <c r="Y24" s="386">
        <f>SUM($G24:P24)</f>
        <v>8018100.1935682558</v>
      </c>
      <c r="Z24" s="386">
        <f>SUM($G24:S24)</f>
        <v>18760134.087560445</v>
      </c>
      <c r="AA24" s="372"/>
      <c r="AB24" s="372"/>
      <c r="AC24" s="372"/>
      <c r="AD24" s="372"/>
      <c r="AE24" s="372"/>
      <c r="AF24" s="372"/>
      <c r="AG24" s="372"/>
      <c r="AH24" s="372"/>
      <c r="AI24" s="372"/>
    </row>
    <row r="25" spans="1:35" x14ac:dyDescent="0.3">
      <c r="A25" s="448" t="s">
        <v>384</v>
      </c>
      <c r="B25" s="448"/>
      <c r="C25" s="448"/>
      <c r="D25" s="435" t="s">
        <v>490</v>
      </c>
      <c r="E25" s="447">
        <f t="shared" ref="E25:S25" si="19">E24-E26</f>
        <v>0</v>
      </c>
      <c r="F25" s="447">
        <f t="shared" si="19"/>
        <v>0</v>
      </c>
      <c r="G25" s="447">
        <f t="shared" si="19"/>
        <v>18388.546833888002</v>
      </c>
      <c r="H25" s="387">
        <f t="shared" si="19"/>
        <v>41365.802540159995</v>
      </c>
      <c r="I25" s="387">
        <f t="shared" si="19"/>
        <v>65003.403991679981</v>
      </c>
      <c r="J25" s="387">
        <f t="shared" si="19"/>
        <v>143000.64351095038</v>
      </c>
      <c r="K25" s="387">
        <f t="shared" si="19"/>
        <v>234294.0338467008</v>
      </c>
      <c r="L25" s="387">
        <f t="shared" si="19"/>
        <v>352230.54055112461</v>
      </c>
      <c r="M25" s="387">
        <f t="shared" si="19"/>
        <v>470167.04725554818</v>
      </c>
      <c r="N25" s="387">
        <f t="shared" si="19"/>
        <v>625745.8146874638</v>
      </c>
      <c r="O25" s="387">
        <f t="shared" si="19"/>
        <v>833120.76108207752</v>
      </c>
      <c r="P25" s="387">
        <f t="shared" si="19"/>
        <v>1015697.4612149838</v>
      </c>
      <c r="Q25" s="387">
        <f t="shared" si="19"/>
        <v>1352399.2060654657</v>
      </c>
      <c r="R25" s="387">
        <f t="shared" si="19"/>
        <v>1652167.1986479477</v>
      </c>
      <c r="S25" s="387">
        <f t="shared" si="19"/>
        <v>2088134.2095747031</v>
      </c>
      <c r="T25" s="387">
        <f t="shared" ref="T25" si="20">T24-T26</f>
        <v>2213033.7856502137</v>
      </c>
      <c r="U25" s="386">
        <f t="shared" si="14"/>
        <v>11104748.455452908</v>
      </c>
      <c r="V25" s="372"/>
      <c r="W25" s="386">
        <f>SUM($G25:I25)</f>
        <v>124757.75336572799</v>
      </c>
      <c r="X25" s="386">
        <f>SUM($G25:K25)</f>
        <v>502052.43072337913</v>
      </c>
      <c r="Y25" s="386">
        <f>SUM($G25:P25)</f>
        <v>3799014.0555145768</v>
      </c>
      <c r="Z25" s="386">
        <f>SUM($G25:S25)</f>
        <v>8891714.6698026937</v>
      </c>
      <c r="AA25" s="372"/>
      <c r="AB25" s="372"/>
      <c r="AC25" s="372"/>
      <c r="AD25" s="372"/>
      <c r="AE25" s="372"/>
      <c r="AF25" s="372"/>
      <c r="AG25" s="372"/>
      <c r="AH25" s="372"/>
      <c r="AI25" s="372"/>
    </row>
    <row r="26" spans="1:35" x14ac:dyDescent="0.3">
      <c r="A26" s="448" t="s">
        <v>372</v>
      </c>
      <c r="B26" s="449">
        <v>0.1157</v>
      </c>
      <c r="C26" s="450"/>
      <c r="D26" s="435" t="s">
        <v>490</v>
      </c>
      <c r="E26" s="447">
        <f>E24*$B$26/20%</f>
        <v>0</v>
      </c>
      <c r="F26" s="447">
        <f>F24*$B$26/20%</f>
        <v>0</v>
      </c>
      <c r="G26" s="447">
        <f>G24*$B$26/20%</f>
        <v>25237.898798111994</v>
      </c>
      <c r="H26" s="387">
        <f>H24*$B$26/$B$24</f>
        <v>45887.088723839996</v>
      </c>
      <c r="I26" s="387">
        <f t="shared" ref="I26:S26" si="21">I24*$B$26/$B$24</f>
        <v>72108.282280319982</v>
      </c>
      <c r="J26" s="387">
        <f t="shared" si="21"/>
        <v>158630.62755720958</v>
      </c>
      <c r="K26" s="387">
        <f t="shared" si="21"/>
        <v>259902.39420961915</v>
      </c>
      <c r="L26" s="387">
        <f t="shared" si="21"/>
        <v>390729.37240426755</v>
      </c>
      <c r="M26" s="387">
        <f t="shared" si="21"/>
        <v>521556.35059891583</v>
      </c>
      <c r="N26" s="387">
        <f t="shared" si="21"/>
        <v>694139.89222760836</v>
      </c>
      <c r="O26" s="387">
        <f t="shared" si="21"/>
        <v>924180.94014569849</v>
      </c>
      <c r="P26" s="387">
        <f t="shared" si="21"/>
        <v>1126713.2911080881</v>
      </c>
      <c r="Q26" s="387">
        <f t="shared" si="21"/>
        <v>1500216.5689527742</v>
      </c>
      <c r="R26" s="387">
        <f t="shared" si="21"/>
        <v>1832749.2318654608</v>
      </c>
      <c r="S26" s="387">
        <f t="shared" si="21"/>
        <v>2316367.4788858406</v>
      </c>
      <c r="T26" s="387">
        <f t="shared" ref="T26" si="22">T24*$B$26/$B$24</f>
        <v>2454918.5906014354</v>
      </c>
      <c r="U26" s="386">
        <f t="shared" si="14"/>
        <v>12323338.008359188</v>
      </c>
      <c r="V26" s="372"/>
      <c r="W26" s="386">
        <f>SUM($G26:I26)</f>
        <v>143233.26980227197</v>
      </c>
      <c r="X26" s="386">
        <f>SUM($G26:K26)</f>
        <v>561766.29156910069</v>
      </c>
      <c r="Y26" s="386">
        <f>SUM($G26:P26)</f>
        <v>4219086.1380536789</v>
      </c>
      <c r="Z26" s="386">
        <f>SUM($G26:S26)</f>
        <v>9868419.4177577533</v>
      </c>
      <c r="AA26" s="372"/>
      <c r="AB26" s="372"/>
      <c r="AC26" s="372"/>
      <c r="AD26" s="372"/>
      <c r="AE26" s="372"/>
      <c r="AF26" s="372"/>
      <c r="AG26" s="372"/>
      <c r="AH26" s="372"/>
      <c r="AI26" s="372"/>
    </row>
    <row r="27" spans="1:35" x14ac:dyDescent="0.3">
      <c r="A27" s="437" t="s">
        <v>385</v>
      </c>
      <c r="B27" s="444">
        <v>0.24</v>
      </c>
      <c r="C27" s="444"/>
      <c r="D27" s="435" t="s">
        <v>490</v>
      </c>
      <c r="E27" s="447">
        <f>(E18-E19)*0.2</f>
        <v>0</v>
      </c>
      <c r="F27" s="447">
        <f>(F18-F19)*0.2</f>
        <v>0</v>
      </c>
      <c r="G27" s="447">
        <f>G20*$B$27</f>
        <v>147218.42256764535</v>
      </c>
      <c r="H27" s="447">
        <f t="shared" ref="H27:S27" si="23">H20*$B$27</f>
        <v>294436.8451352907</v>
      </c>
      <c r="I27" s="447">
        <f t="shared" si="23"/>
        <v>462686.47092688538</v>
      </c>
      <c r="J27" s="447">
        <f t="shared" si="23"/>
        <v>778154.51928612543</v>
      </c>
      <c r="K27" s="447">
        <f t="shared" si="23"/>
        <v>1188262.9821531377</v>
      </c>
      <c r="L27" s="447">
        <f t="shared" si="23"/>
        <v>1619402.6482440988</v>
      </c>
      <c r="M27" s="447">
        <f t="shared" si="23"/>
        <v>2050542.3143350605</v>
      </c>
      <c r="N27" s="447">
        <f t="shared" si="23"/>
        <v>2576322.3949337937</v>
      </c>
      <c r="O27" s="447">
        <f t="shared" si="23"/>
        <v>3249320.8981001722</v>
      </c>
      <c r="P27" s="447">
        <f t="shared" si="23"/>
        <v>3659429.3609671844</v>
      </c>
      <c r="Q27" s="447">
        <f t="shared" si="23"/>
        <v>4910785.9527921695</v>
      </c>
      <c r="R27" s="447">
        <f t="shared" si="23"/>
        <v>5899252.5043177893</v>
      </c>
      <c r="S27" s="447">
        <f t="shared" si="23"/>
        <v>7287311.9170984449</v>
      </c>
      <c r="T27" s="447">
        <f t="shared" ref="T27" si="24">T20*$B$27</f>
        <v>7676389.1767415088</v>
      </c>
      <c r="U27" s="386">
        <f t="shared" si="14"/>
        <v>41799516.407599315</v>
      </c>
      <c r="V27" s="372"/>
      <c r="W27" s="386">
        <f>SUM($G27:I27)</f>
        <v>904341.73862982146</v>
      </c>
      <c r="X27" s="386">
        <f>SUM($G27:K27)</f>
        <v>2870759.2400690848</v>
      </c>
      <c r="Y27" s="386">
        <f>SUM($G27:P27)</f>
        <v>16025776.856649395</v>
      </c>
      <c r="Z27" s="386">
        <f>SUM($G27:S27)</f>
        <v>34123127.230857804</v>
      </c>
      <c r="AA27" s="372"/>
      <c r="AB27" s="372"/>
      <c r="AC27" s="372"/>
      <c r="AD27" s="372"/>
      <c r="AE27" s="372"/>
      <c r="AF27" s="372"/>
      <c r="AG27" s="372"/>
      <c r="AH27" s="372"/>
      <c r="AI27" s="372"/>
    </row>
    <row r="28" spans="1:35" ht="28" x14ac:dyDescent="0.3">
      <c r="A28" s="452" t="s">
        <v>489</v>
      </c>
      <c r="B28" s="451"/>
      <c r="C28" s="451"/>
      <c r="D28" s="435" t="s">
        <v>490</v>
      </c>
      <c r="E28" s="447">
        <f t="shared" ref="E28:S28" si="25">E23+E24+E27</f>
        <v>0</v>
      </c>
      <c r="F28" s="447">
        <f t="shared" si="25"/>
        <v>0</v>
      </c>
      <c r="G28" s="447">
        <f t="shared" si="25"/>
        <v>299219.40355964541</v>
      </c>
      <c r="H28" s="447">
        <f t="shared" si="25"/>
        <v>598438.80711929081</v>
      </c>
      <c r="I28" s="447">
        <f t="shared" si="25"/>
        <v>940403.83975888533</v>
      </c>
      <c r="J28" s="447">
        <f t="shared" si="25"/>
        <v>1747992.2112310855</v>
      </c>
      <c r="K28" s="447">
        <f t="shared" si="25"/>
        <v>2747935.9135630578</v>
      </c>
      <c r="L28" s="447">
        <f t="shared" si="25"/>
        <v>3916639.1831796514</v>
      </c>
      <c r="M28" s="447">
        <f t="shared" si="25"/>
        <v>5085342.452796245</v>
      </c>
      <c r="N28" s="447">
        <f t="shared" si="25"/>
        <v>6567981.0041554263</v>
      </c>
      <c r="O28" s="447">
        <f t="shared" si="25"/>
        <v>8494362.8604364283</v>
      </c>
      <c r="P28" s="447">
        <f t="shared" si="25"/>
        <v>9952151.3194368184</v>
      </c>
      <c r="Q28" s="447">
        <f t="shared" si="25"/>
        <v>13270995.614805609</v>
      </c>
      <c r="R28" s="447">
        <f t="shared" si="25"/>
        <v>16055519.546675038</v>
      </c>
      <c r="S28" s="447">
        <f t="shared" si="25"/>
        <v>20021851.96316411</v>
      </c>
      <c r="T28" s="447">
        <f t="shared" ref="T28" si="26">T23+T24+T27</f>
        <v>21155934.4174322</v>
      </c>
      <c r="U28" s="386">
        <f t="shared" si="14"/>
        <v>110854768.53731349</v>
      </c>
      <c r="V28" s="372"/>
      <c r="W28" s="386">
        <f>SUM($G28:I28)</f>
        <v>1838062.0504378215</v>
      </c>
      <c r="X28" s="386">
        <f>SUM($G28:K28)</f>
        <v>6333990.1752319653</v>
      </c>
      <c r="Y28" s="386">
        <f>SUM($G28:P28)</f>
        <v>40350466.995236531</v>
      </c>
      <c r="Z28" s="386">
        <f>SUM($G28:S28)</f>
        <v>89698834.119881287</v>
      </c>
      <c r="AA28" s="372"/>
      <c r="AB28" s="372"/>
      <c r="AC28" s="372"/>
      <c r="AD28" s="372"/>
      <c r="AE28" s="372"/>
      <c r="AF28" s="372"/>
      <c r="AG28" s="372"/>
      <c r="AH28" s="372"/>
      <c r="AI28" s="372"/>
    </row>
    <row r="29" spans="1:35" x14ac:dyDescent="0.3">
      <c r="A29" s="452"/>
      <c r="B29" s="451"/>
      <c r="C29" s="451"/>
      <c r="D29" s="435"/>
      <c r="E29" s="447"/>
      <c r="F29" s="447"/>
      <c r="G29" s="447"/>
      <c r="H29" s="387"/>
      <c r="I29" s="387"/>
      <c r="J29" s="387"/>
      <c r="K29" s="387"/>
      <c r="L29" s="387"/>
      <c r="M29" s="387"/>
      <c r="N29" s="387"/>
      <c r="O29" s="387"/>
      <c r="P29" s="387"/>
      <c r="Q29" s="387"/>
      <c r="R29" s="387"/>
      <c r="S29" s="387"/>
      <c r="T29" s="387"/>
      <c r="U29" s="386"/>
      <c r="V29" s="372"/>
      <c r="W29" s="386"/>
      <c r="X29" s="386"/>
      <c r="Y29" s="386"/>
      <c r="Z29" s="386"/>
      <c r="AA29" s="372"/>
      <c r="AB29" s="372"/>
      <c r="AC29" s="372"/>
      <c r="AD29" s="372"/>
      <c r="AE29" s="372"/>
      <c r="AF29" s="372"/>
      <c r="AG29" s="372"/>
      <c r="AH29" s="372"/>
      <c r="AI29" s="372"/>
    </row>
    <row r="30" spans="1:35" x14ac:dyDescent="0.3">
      <c r="A30" s="453" t="s">
        <v>369</v>
      </c>
      <c r="B30" s="453"/>
      <c r="C30" s="453"/>
      <c r="D30" s="454" t="s">
        <v>490</v>
      </c>
      <c r="E30" s="455">
        <f t="shared" ref="E30:F30" si="27">SUM(E31:E34)</f>
        <v>0</v>
      </c>
      <c r="F30" s="455">
        <f t="shared" si="27"/>
        <v>0</v>
      </c>
      <c r="G30" s="455">
        <f t="shared" ref="G30" si="28">SUM(G31:G34)</f>
        <v>324457.30235775735</v>
      </c>
      <c r="H30" s="455">
        <f t="shared" ref="H30:S30" si="29">SUM(H31:H34)</f>
        <v>644325.89584313077</v>
      </c>
      <c r="I30" s="455">
        <f t="shared" si="29"/>
        <v>1012512.1220392053</v>
      </c>
      <c r="J30" s="455">
        <f t="shared" si="29"/>
        <v>1906622.8387882952</v>
      </c>
      <c r="K30" s="455">
        <f t="shared" si="29"/>
        <v>3007838.3077726765</v>
      </c>
      <c r="L30" s="455">
        <f t="shared" si="29"/>
        <v>4307368.5555839185</v>
      </c>
      <c r="M30" s="455">
        <f t="shared" si="29"/>
        <v>5606898.8033951605</v>
      </c>
      <c r="N30" s="455">
        <f t="shared" si="29"/>
        <v>7262120.896383035</v>
      </c>
      <c r="O30" s="455">
        <f t="shared" si="29"/>
        <v>9418543.8005821258</v>
      </c>
      <c r="P30" s="455">
        <f t="shared" si="29"/>
        <v>11078864.610544905</v>
      </c>
      <c r="Q30" s="455">
        <f t="shared" si="29"/>
        <v>14771212.183758384</v>
      </c>
      <c r="R30" s="455">
        <f t="shared" si="29"/>
        <v>17888268.7785405</v>
      </c>
      <c r="S30" s="455">
        <f t="shared" si="29"/>
        <v>22338219.44204995</v>
      </c>
      <c r="T30" s="455">
        <f t="shared" ref="T30" si="30">SUM(T31:T34)</f>
        <v>23610853.008033633</v>
      </c>
      <c r="U30" s="390">
        <f>SUM(E30:T30)</f>
        <v>123178106.54567268</v>
      </c>
      <c r="V30" s="372"/>
      <c r="W30" s="589">
        <f>SUM($G30:I30)</f>
        <v>1981295.3202400934</v>
      </c>
      <c r="X30" s="589">
        <f>SUM($G30:K30)</f>
        <v>6895756.466801065</v>
      </c>
      <c r="Y30" s="589">
        <f>SUM($G30:P30)</f>
        <v>44569553.133290209</v>
      </c>
      <c r="Z30" s="589">
        <f>SUM($G30:S30)</f>
        <v>99567253.537639052</v>
      </c>
      <c r="AA30" s="372"/>
      <c r="AB30" s="372"/>
      <c r="AC30" s="372"/>
      <c r="AD30" s="372"/>
      <c r="AE30" s="372"/>
      <c r="AF30" s="372"/>
      <c r="AG30" s="372"/>
      <c r="AH30" s="372"/>
      <c r="AI30" s="372"/>
    </row>
    <row r="31" spans="1:35" x14ac:dyDescent="0.3">
      <c r="A31" s="456" t="s">
        <v>370</v>
      </c>
      <c r="B31" s="456"/>
      <c r="C31" s="456"/>
      <c r="D31" s="454" t="s">
        <v>490</v>
      </c>
      <c r="E31" s="455">
        <f t="shared" ref="E31:H31" si="31">E23</f>
        <v>0</v>
      </c>
      <c r="F31" s="455">
        <f t="shared" si="31"/>
        <v>0</v>
      </c>
      <c r="G31" s="455">
        <f t="shared" si="31"/>
        <v>108374.53536000002</v>
      </c>
      <c r="H31" s="455">
        <f t="shared" si="31"/>
        <v>216749.07072000005</v>
      </c>
      <c r="I31" s="455">
        <f>I23</f>
        <v>340605.68255999999</v>
      </c>
      <c r="J31" s="455">
        <f t="shared" ref="J31:S31" si="32">J23</f>
        <v>668206.42087680008</v>
      </c>
      <c r="K31" s="455">
        <f t="shared" si="32"/>
        <v>1065476.5033535999</v>
      </c>
      <c r="L31" s="455">
        <f t="shared" si="32"/>
        <v>1554276.6219801602</v>
      </c>
      <c r="M31" s="455">
        <f t="shared" si="32"/>
        <v>2043076.7406067201</v>
      </c>
      <c r="N31" s="455">
        <f t="shared" si="32"/>
        <v>2671772.9023065604</v>
      </c>
      <c r="O31" s="455">
        <f t="shared" si="32"/>
        <v>3487740.2611084799</v>
      </c>
      <c r="P31" s="455">
        <f t="shared" si="32"/>
        <v>4150311.2061465606</v>
      </c>
      <c r="Q31" s="455">
        <f t="shared" si="32"/>
        <v>5507593.8869952001</v>
      </c>
      <c r="R31" s="455">
        <f t="shared" si="32"/>
        <v>6671350.6118438412</v>
      </c>
      <c r="S31" s="455">
        <f t="shared" si="32"/>
        <v>8330038.3576051202</v>
      </c>
      <c r="T31" s="455">
        <f t="shared" ref="T31" si="33">T23</f>
        <v>8811592.8644390423</v>
      </c>
      <c r="U31" s="390">
        <f>SUM(E31:T31)</f>
        <v>45627165.665902086</v>
      </c>
      <c r="V31" s="372"/>
      <c r="W31" s="589">
        <f>SUM($G31:I31)</f>
        <v>665729.28864000004</v>
      </c>
      <c r="X31" s="589">
        <f>SUM($G31:K31)</f>
        <v>2399412.2128703999</v>
      </c>
      <c r="Y31" s="589">
        <f>SUM($G31:P31)</f>
        <v>16306589.945018882</v>
      </c>
      <c r="Z31" s="589">
        <f>SUM($G31:S31)</f>
        <v>36815572.801463045</v>
      </c>
      <c r="AA31" s="372"/>
      <c r="AB31" s="372"/>
      <c r="AC31" s="372"/>
      <c r="AD31" s="372"/>
      <c r="AE31" s="372"/>
      <c r="AF31" s="372"/>
      <c r="AG31" s="372"/>
      <c r="AH31" s="372"/>
      <c r="AI31" s="372"/>
    </row>
    <row r="32" spans="1:35" x14ac:dyDescent="0.3">
      <c r="A32" s="456" t="s">
        <v>371</v>
      </c>
      <c r="B32" s="456"/>
      <c r="C32" s="456"/>
      <c r="D32" s="454" t="s">
        <v>490</v>
      </c>
      <c r="E32" s="455">
        <f t="shared" ref="E32:H32" si="34">E24</f>
        <v>0</v>
      </c>
      <c r="F32" s="455">
        <f t="shared" si="34"/>
        <v>0</v>
      </c>
      <c r="G32" s="455">
        <f t="shared" si="34"/>
        <v>43626.445631999995</v>
      </c>
      <c r="H32" s="455">
        <f t="shared" si="34"/>
        <v>87252.891263999991</v>
      </c>
      <c r="I32" s="455">
        <f>I24</f>
        <v>137111.68627199996</v>
      </c>
      <c r="J32" s="455">
        <f t="shared" ref="J32:S32" si="35">J24</f>
        <v>301631.27106815996</v>
      </c>
      <c r="K32" s="455">
        <f t="shared" si="35"/>
        <v>494196.42805631994</v>
      </c>
      <c r="L32" s="455">
        <f t="shared" si="35"/>
        <v>742959.91295539215</v>
      </c>
      <c r="M32" s="455">
        <f t="shared" si="35"/>
        <v>991723.39785446401</v>
      </c>
      <c r="N32" s="455">
        <f t="shared" si="35"/>
        <v>1319885.7069150722</v>
      </c>
      <c r="O32" s="455">
        <f t="shared" si="35"/>
        <v>1757301.701227776</v>
      </c>
      <c r="P32" s="455">
        <f t="shared" si="35"/>
        <v>2142410.7523230719</v>
      </c>
      <c r="Q32" s="455">
        <f t="shared" si="35"/>
        <v>2852615.7750182399</v>
      </c>
      <c r="R32" s="455">
        <f t="shared" si="35"/>
        <v>3484916.4305134085</v>
      </c>
      <c r="S32" s="455">
        <f t="shared" si="35"/>
        <v>4404501.6884605438</v>
      </c>
      <c r="T32" s="455">
        <f t="shared" ref="T32" si="36">T24</f>
        <v>4667952.3762516491</v>
      </c>
      <c r="U32" s="390">
        <f>SUM(E32:T32)</f>
        <v>23428086.463812094</v>
      </c>
      <c r="V32" s="372"/>
      <c r="W32" s="589">
        <f>SUM($G32:I32)</f>
        <v>267991.02316799993</v>
      </c>
      <c r="X32" s="589">
        <f>SUM($G32:K32)</f>
        <v>1063818.7222924798</v>
      </c>
      <c r="Y32" s="589">
        <f>SUM($G32:P32)</f>
        <v>8018100.1935682558</v>
      </c>
      <c r="Z32" s="589">
        <f>SUM($G32:S32)</f>
        <v>18760134.087560445</v>
      </c>
      <c r="AA32" s="372"/>
      <c r="AB32" s="372"/>
      <c r="AC32" s="372"/>
      <c r="AD32" s="372"/>
      <c r="AE32" s="372"/>
      <c r="AF32" s="372"/>
      <c r="AG32" s="372"/>
      <c r="AH32" s="372"/>
      <c r="AI32" s="372"/>
    </row>
    <row r="33" spans="1:35" x14ac:dyDescent="0.3">
      <c r="A33" s="457" t="s">
        <v>372</v>
      </c>
      <c r="B33" s="456"/>
      <c r="C33" s="456"/>
      <c r="D33" s="454" t="s">
        <v>490</v>
      </c>
      <c r="E33" s="455">
        <f t="shared" ref="E33:H33" si="37">E26</f>
        <v>0</v>
      </c>
      <c r="F33" s="455">
        <f t="shared" si="37"/>
        <v>0</v>
      </c>
      <c r="G33" s="455">
        <f t="shared" si="37"/>
        <v>25237.898798111994</v>
      </c>
      <c r="H33" s="455">
        <f t="shared" si="37"/>
        <v>45887.088723839996</v>
      </c>
      <c r="I33" s="455">
        <f>I26</f>
        <v>72108.282280319982</v>
      </c>
      <c r="J33" s="455">
        <f t="shared" ref="J33:S33" si="38">J26</f>
        <v>158630.62755720958</v>
      </c>
      <c r="K33" s="455">
        <f t="shared" si="38"/>
        <v>259902.39420961915</v>
      </c>
      <c r="L33" s="455">
        <f t="shared" si="38"/>
        <v>390729.37240426755</v>
      </c>
      <c r="M33" s="455">
        <f t="shared" si="38"/>
        <v>521556.35059891583</v>
      </c>
      <c r="N33" s="455">
        <f t="shared" si="38"/>
        <v>694139.89222760836</v>
      </c>
      <c r="O33" s="455">
        <f t="shared" si="38"/>
        <v>924180.94014569849</v>
      </c>
      <c r="P33" s="455">
        <f t="shared" si="38"/>
        <v>1126713.2911080881</v>
      </c>
      <c r="Q33" s="455">
        <f t="shared" si="38"/>
        <v>1500216.5689527742</v>
      </c>
      <c r="R33" s="455">
        <f t="shared" si="38"/>
        <v>1832749.2318654608</v>
      </c>
      <c r="S33" s="455">
        <f t="shared" si="38"/>
        <v>2316367.4788858406</v>
      </c>
      <c r="T33" s="455">
        <f t="shared" ref="T33" si="39">T26</f>
        <v>2454918.5906014354</v>
      </c>
      <c r="U33" s="390">
        <f>SUM(E33:T33)</f>
        <v>12323338.008359188</v>
      </c>
      <c r="V33" s="372"/>
      <c r="W33" s="589">
        <f>SUM($G33:I33)</f>
        <v>143233.26980227197</v>
      </c>
      <c r="X33" s="589">
        <f>SUM($G33:K33)</f>
        <v>561766.29156910069</v>
      </c>
      <c r="Y33" s="589">
        <f>SUM($G33:P33)</f>
        <v>4219086.1380536789</v>
      </c>
      <c r="Z33" s="589">
        <f>SUM($G33:S33)</f>
        <v>9868419.4177577533</v>
      </c>
      <c r="AA33" s="372"/>
      <c r="AB33" s="372"/>
      <c r="AC33" s="372"/>
      <c r="AD33" s="372"/>
      <c r="AE33" s="372"/>
      <c r="AF33" s="372"/>
      <c r="AG33" s="372"/>
      <c r="AH33" s="372"/>
      <c r="AI33" s="372"/>
    </row>
    <row r="34" spans="1:35" x14ac:dyDescent="0.3">
      <c r="A34" s="456" t="s">
        <v>373</v>
      </c>
      <c r="B34" s="456"/>
      <c r="C34" s="456"/>
      <c r="D34" s="454" t="s">
        <v>490</v>
      </c>
      <c r="E34" s="455">
        <f t="shared" ref="E34:H34" si="40">E27</f>
        <v>0</v>
      </c>
      <c r="F34" s="455">
        <f t="shared" si="40"/>
        <v>0</v>
      </c>
      <c r="G34" s="455">
        <f t="shared" si="40"/>
        <v>147218.42256764535</v>
      </c>
      <c r="H34" s="455">
        <f t="shared" si="40"/>
        <v>294436.8451352907</v>
      </c>
      <c r="I34" s="455">
        <f>I27</f>
        <v>462686.47092688538</v>
      </c>
      <c r="J34" s="455">
        <f t="shared" ref="J34:S34" si="41">J27</f>
        <v>778154.51928612543</v>
      </c>
      <c r="K34" s="455">
        <f t="shared" si="41"/>
        <v>1188262.9821531377</v>
      </c>
      <c r="L34" s="455">
        <f t="shared" si="41"/>
        <v>1619402.6482440988</v>
      </c>
      <c r="M34" s="455">
        <f t="shared" si="41"/>
        <v>2050542.3143350605</v>
      </c>
      <c r="N34" s="455">
        <f t="shared" si="41"/>
        <v>2576322.3949337937</v>
      </c>
      <c r="O34" s="455">
        <f t="shared" si="41"/>
        <v>3249320.8981001722</v>
      </c>
      <c r="P34" s="455">
        <f t="shared" si="41"/>
        <v>3659429.3609671844</v>
      </c>
      <c r="Q34" s="455">
        <f t="shared" si="41"/>
        <v>4910785.9527921695</v>
      </c>
      <c r="R34" s="455">
        <f t="shared" si="41"/>
        <v>5899252.5043177893</v>
      </c>
      <c r="S34" s="455">
        <f t="shared" si="41"/>
        <v>7287311.9170984449</v>
      </c>
      <c r="T34" s="455">
        <f t="shared" ref="T34" si="42">T27</f>
        <v>7676389.1767415088</v>
      </c>
      <c r="U34" s="390">
        <f>SUM(E34:T34)</f>
        <v>41799516.407599315</v>
      </c>
      <c r="V34" s="372"/>
      <c r="W34" s="589">
        <f>SUM($G34:I34)</f>
        <v>904341.73862982146</v>
      </c>
      <c r="X34" s="589">
        <f>SUM($G34:K34)</f>
        <v>2870759.2400690848</v>
      </c>
      <c r="Y34" s="589">
        <f>SUM($G34:P34)</f>
        <v>16025776.856649395</v>
      </c>
      <c r="Z34" s="589">
        <f>SUM($G34:S34)</f>
        <v>34123127.230857804</v>
      </c>
      <c r="AA34" s="372"/>
      <c r="AB34" s="372"/>
      <c r="AC34" s="372"/>
      <c r="AD34" s="372"/>
      <c r="AE34" s="372"/>
      <c r="AF34" s="372"/>
      <c r="AG34" s="372"/>
      <c r="AH34" s="372"/>
      <c r="AI34" s="372"/>
    </row>
    <row r="35" spans="1:35" x14ac:dyDescent="0.3">
      <c r="A35" s="451"/>
      <c r="B35" s="451"/>
      <c r="C35" s="451"/>
      <c r="D35" s="435"/>
      <c r="E35" s="436"/>
      <c r="F35" s="440"/>
      <c r="G35" s="440"/>
      <c r="H35" s="385"/>
      <c r="I35" s="385"/>
      <c r="J35" s="385"/>
      <c r="K35" s="385"/>
      <c r="L35" s="385"/>
      <c r="M35" s="385"/>
      <c r="N35" s="385"/>
      <c r="O35" s="385"/>
      <c r="P35" s="385"/>
      <c r="Q35" s="385"/>
      <c r="R35" s="385"/>
      <c r="S35" s="385"/>
      <c r="T35" s="385"/>
      <c r="U35" s="385"/>
      <c r="V35" s="372"/>
      <c r="W35" s="376"/>
      <c r="X35" s="376"/>
      <c r="Y35" s="376"/>
      <c r="Z35" s="376"/>
      <c r="AA35" s="372"/>
      <c r="AB35" s="372"/>
      <c r="AC35" s="372"/>
      <c r="AD35" s="372"/>
      <c r="AE35" s="372"/>
      <c r="AF35" s="372"/>
      <c r="AG35" s="372"/>
      <c r="AH35" s="372"/>
      <c r="AI35" s="372"/>
    </row>
    <row r="36" spans="1:35" x14ac:dyDescent="0.3">
      <c r="A36" s="458" t="s">
        <v>374</v>
      </c>
      <c r="B36" s="458"/>
      <c r="C36" s="458"/>
      <c r="D36" s="454"/>
      <c r="E36" s="459"/>
      <c r="F36" s="459"/>
      <c r="G36" s="459">
        <f>SUM(G37:G38)</f>
        <v>19.32</v>
      </c>
      <c r="H36" s="459">
        <f t="shared" ref="H36:S36" si="43">SUM(H37:H38)</f>
        <v>38.64</v>
      </c>
      <c r="I36" s="459">
        <f t="shared" si="43"/>
        <v>60.719999999999992</v>
      </c>
      <c r="J36" s="459">
        <f t="shared" si="43"/>
        <v>94.391999999999996</v>
      </c>
      <c r="K36" s="459">
        <f t="shared" si="43"/>
        <v>140.48400000000001</v>
      </c>
      <c r="L36" s="459">
        <f t="shared" si="43"/>
        <v>188.232</v>
      </c>
      <c r="M36" s="459">
        <f t="shared" si="43"/>
        <v>235.98000000000002</v>
      </c>
      <c r="N36" s="459">
        <f t="shared" si="43"/>
        <v>291.18</v>
      </c>
      <c r="O36" s="459">
        <f t="shared" si="43"/>
        <v>354.10799999999995</v>
      </c>
      <c r="P36" s="459">
        <f t="shared" si="43"/>
        <v>382.53600000000006</v>
      </c>
      <c r="Q36" s="459">
        <f t="shared" si="43"/>
        <v>500.38800000000003</v>
      </c>
      <c r="R36" s="459">
        <f t="shared" si="43"/>
        <v>583.74</v>
      </c>
      <c r="S36" s="459">
        <f t="shared" si="43"/>
        <v>688.61999999999989</v>
      </c>
      <c r="T36" s="459">
        <f t="shared" ref="T36" si="44">SUM(T37:T38)</f>
        <v>721.74</v>
      </c>
      <c r="U36" s="388">
        <f>T36</f>
        <v>721.74</v>
      </c>
      <c r="V36" s="372"/>
      <c r="W36" s="384">
        <f>I36</f>
        <v>60.719999999999992</v>
      </c>
      <c r="X36" s="384">
        <f>K36</f>
        <v>140.48400000000001</v>
      </c>
      <c r="Y36" s="384">
        <f>P36</f>
        <v>382.53600000000006</v>
      </c>
      <c r="Z36" s="384">
        <f>S36</f>
        <v>688.61999999999989</v>
      </c>
      <c r="AA36" s="372"/>
      <c r="AB36" s="372"/>
      <c r="AC36" s="372"/>
      <c r="AD36" s="372"/>
      <c r="AE36" s="372"/>
      <c r="AF36" s="372"/>
      <c r="AG36" s="372"/>
      <c r="AH36" s="372"/>
      <c r="AI36" s="372"/>
    </row>
    <row r="37" spans="1:35" x14ac:dyDescent="0.3">
      <c r="A37" s="460" t="str">
        <f>'Eeldused SotsMajand. moju'!A18</f>
        <v>Inkubant-ettevõtted</v>
      </c>
      <c r="B37" s="460"/>
      <c r="C37" s="460"/>
      <c r="D37" s="454" t="s">
        <v>492</v>
      </c>
      <c r="E37" s="459"/>
      <c r="F37" s="459"/>
      <c r="G37" s="459">
        <f t="shared" ref="G37:S37" si="45">G21</f>
        <v>19.32</v>
      </c>
      <c r="H37" s="459">
        <f t="shared" si="45"/>
        <v>38.64</v>
      </c>
      <c r="I37" s="459">
        <f t="shared" si="45"/>
        <v>60.719999999999992</v>
      </c>
      <c r="J37" s="459">
        <f t="shared" si="45"/>
        <v>94.391999999999996</v>
      </c>
      <c r="K37" s="459">
        <f t="shared" si="45"/>
        <v>140.48400000000001</v>
      </c>
      <c r="L37" s="459">
        <f t="shared" si="45"/>
        <v>188.232</v>
      </c>
      <c r="M37" s="459">
        <f t="shared" si="45"/>
        <v>235.98000000000002</v>
      </c>
      <c r="N37" s="459">
        <f t="shared" si="45"/>
        <v>291.18</v>
      </c>
      <c r="O37" s="459">
        <f t="shared" si="45"/>
        <v>354.10799999999995</v>
      </c>
      <c r="P37" s="459">
        <f t="shared" si="45"/>
        <v>382.53600000000006</v>
      </c>
      <c r="Q37" s="459">
        <f t="shared" si="45"/>
        <v>500.38800000000003</v>
      </c>
      <c r="R37" s="459">
        <f t="shared" si="45"/>
        <v>583.74</v>
      </c>
      <c r="S37" s="459">
        <f t="shared" si="45"/>
        <v>688.61999999999989</v>
      </c>
      <c r="T37" s="459">
        <f t="shared" ref="T37" si="46">T21</f>
        <v>721.74</v>
      </c>
      <c r="U37" s="388">
        <f>T37</f>
        <v>721.74</v>
      </c>
      <c r="V37" s="372"/>
      <c r="W37" s="384">
        <f>I37</f>
        <v>60.719999999999992</v>
      </c>
      <c r="X37" s="384">
        <f>K37</f>
        <v>140.48400000000001</v>
      </c>
      <c r="Y37" s="384">
        <f>P37</f>
        <v>382.53600000000006</v>
      </c>
      <c r="Z37" s="384">
        <f t="shared" ref="Z37:Z38" si="47">S37</f>
        <v>688.61999999999989</v>
      </c>
      <c r="AA37" s="372"/>
      <c r="AB37" s="372"/>
      <c r="AC37" s="372"/>
      <c r="AD37" s="372"/>
      <c r="AE37" s="372"/>
      <c r="AF37" s="372"/>
      <c r="AG37" s="372"/>
      <c r="AH37" s="372"/>
      <c r="AI37" s="372"/>
    </row>
    <row r="38" spans="1:35" hidden="1" x14ac:dyDescent="0.3">
      <c r="A38" s="460"/>
      <c r="B38" s="460"/>
      <c r="C38" s="460"/>
      <c r="D38" s="454"/>
      <c r="E38" s="461"/>
      <c r="F38" s="461"/>
      <c r="G38" s="461"/>
      <c r="H38" s="461"/>
      <c r="I38" s="461"/>
      <c r="J38" s="461"/>
      <c r="K38" s="461"/>
      <c r="L38" s="461"/>
      <c r="M38" s="461"/>
      <c r="N38" s="461"/>
      <c r="O38" s="461"/>
      <c r="P38" s="461"/>
      <c r="Q38" s="461"/>
      <c r="R38" s="461"/>
      <c r="S38" s="461"/>
      <c r="T38" s="461"/>
      <c r="U38" s="388">
        <f t="shared" ref="U38" si="48">S38</f>
        <v>0</v>
      </c>
      <c r="V38" s="372"/>
      <c r="W38" s="384">
        <f>I38</f>
        <v>0</v>
      </c>
      <c r="X38" s="384">
        <f>K38</f>
        <v>0</v>
      </c>
      <c r="Y38" s="384">
        <f>P38</f>
        <v>0</v>
      </c>
      <c r="Z38" s="384">
        <f t="shared" si="47"/>
        <v>0</v>
      </c>
      <c r="AA38" s="372"/>
      <c r="AB38" s="372"/>
      <c r="AC38" s="372"/>
      <c r="AD38" s="372"/>
      <c r="AE38" s="372"/>
      <c r="AF38" s="372"/>
      <c r="AG38" s="372"/>
      <c r="AH38" s="372"/>
      <c r="AI38" s="372"/>
    </row>
    <row r="39" spans="1:35" x14ac:dyDescent="0.3">
      <c r="A39" s="437"/>
      <c r="B39" s="437"/>
      <c r="C39" s="437"/>
      <c r="D39" s="435"/>
      <c r="E39" s="445"/>
      <c r="F39" s="445"/>
      <c r="G39" s="445"/>
      <c r="H39" s="384"/>
      <c r="I39" s="384"/>
      <c r="J39" s="384"/>
      <c r="K39" s="384"/>
      <c r="L39" s="384"/>
      <c r="M39" s="384"/>
      <c r="N39" s="384"/>
      <c r="O39" s="384"/>
      <c r="P39" s="384"/>
      <c r="Q39" s="384"/>
      <c r="R39" s="384"/>
      <c r="S39" s="384"/>
      <c r="T39" s="384"/>
      <c r="U39" s="384"/>
      <c r="V39" s="372"/>
      <c r="W39" s="376"/>
      <c r="X39" s="376"/>
      <c r="Y39" s="376"/>
      <c r="Z39" s="376"/>
      <c r="AA39" s="372"/>
      <c r="AB39" s="372"/>
      <c r="AC39" s="372"/>
      <c r="AD39" s="372"/>
      <c r="AE39" s="372"/>
      <c r="AF39" s="372"/>
      <c r="AG39" s="372"/>
      <c r="AH39" s="372"/>
      <c r="AI39" s="372"/>
    </row>
    <row r="40" spans="1:35" x14ac:dyDescent="0.3">
      <c r="A40" s="458" t="s">
        <v>375</v>
      </c>
      <c r="B40" s="460"/>
      <c r="C40" s="460"/>
      <c r="D40" s="454"/>
      <c r="E40" s="461"/>
      <c r="F40" s="461"/>
      <c r="G40" s="461">
        <f>SUM(G41:G42)</f>
        <v>8.4</v>
      </c>
      <c r="H40" s="461">
        <f t="shared" ref="H40:S40" si="49">SUM(H41:H42)</f>
        <v>16.8</v>
      </c>
      <c r="I40" s="461">
        <f t="shared" si="49"/>
        <v>26.4</v>
      </c>
      <c r="J40" s="461">
        <f t="shared" si="49"/>
        <v>36</v>
      </c>
      <c r="K40" s="461">
        <f t="shared" si="49"/>
        <v>51</v>
      </c>
      <c r="L40" s="461">
        <f t="shared" si="49"/>
        <v>66</v>
      </c>
      <c r="M40" s="461">
        <f t="shared" si="49"/>
        <v>81</v>
      </c>
      <c r="N40" s="461">
        <f t="shared" si="49"/>
        <v>96</v>
      </c>
      <c r="O40" s="461">
        <f t="shared" si="49"/>
        <v>111</v>
      </c>
      <c r="P40" s="461">
        <f t="shared" si="49"/>
        <v>126</v>
      </c>
      <c r="Q40" s="461">
        <f t="shared" si="49"/>
        <v>141</v>
      </c>
      <c r="R40" s="461">
        <f t="shared" si="49"/>
        <v>156</v>
      </c>
      <c r="S40" s="461">
        <f t="shared" si="49"/>
        <v>171</v>
      </c>
      <c r="T40" s="461">
        <f>SUM(T41:T42)</f>
        <v>186</v>
      </c>
      <c r="U40" s="389">
        <f>T40</f>
        <v>186</v>
      </c>
      <c r="V40" s="372"/>
      <c r="W40" s="384">
        <f>W41+W42</f>
        <v>26.4</v>
      </c>
      <c r="X40" s="384">
        <f>X41+X42</f>
        <v>51</v>
      </c>
      <c r="Y40" s="384">
        <f>Y41+Y42</f>
        <v>126</v>
      </c>
      <c r="Z40" s="384">
        <f>Z41+Z42</f>
        <v>171</v>
      </c>
      <c r="AA40" s="372"/>
      <c r="AB40" s="372"/>
      <c r="AC40" s="372"/>
      <c r="AD40" s="372"/>
      <c r="AE40" s="372"/>
      <c r="AF40" s="372"/>
      <c r="AG40" s="372"/>
      <c r="AH40" s="372"/>
      <c r="AI40" s="372"/>
    </row>
    <row r="41" spans="1:35" x14ac:dyDescent="0.3">
      <c r="A41" s="460" t="str">
        <f>A37</f>
        <v>Inkubant-ettevõtted</v>
      </c>
      <c r="B41" s="460"/>
      <c r="C41" s="460"/>
      <c r="D41" s="454" t="s">
        <v>537</v>
      </c>
      <c r="E41" s="461"/>
      <c r="F41" s="461"/>
      <c r="G41" s="461">
        <f t="shared" ref="G41:S41" si="50">G10</f>
        <v>8.4</v>
      </c>
      <c r="H41" s="461">
        <f t="shared" si="50"/>
        <v>16.8</v>
      </c>
      <c r="I41" s="461">
        <f t="shared" si="50"/>
        <v>26.4</v>
      </c>
      <c r="J41" s="461">
        <f t="shared" si="50"/>
        <v>36</v>
      </c>
      <c r="K41" s="461">
        <f t="shared" si="50"/>
        <v>51</v>
      </c>
      <c r="L41" s="461">
        <f t="shared" si="50"/>
        <v>66</v>
      </c>
      <c r="M41" s="461">
        <f t="shared" si="50"/>
        <v>81</v>
      </c>
      <c r="N41" s="461">
        <f t="shared" si="50"/>
        <v>96</v>
      </c>
      <c r="O41" s="461">
        <f t="shared" si="50"/>
        <v>111</v>
      </c>
      <c r="P41" s="461">
        <f t="shared" si="50"/>
        <v>126</v>
      </c>
      <c r="Q41" s="461">
        <f t="shared" si="50"/>
        <v>141</v>
      </c>
      <c r="R41" s="461">
        <f t="shared" si="50"/>
        <v>156</v>
      </c>
      <c r="S41" s="461">
        <f t="shared" si="50"/>
        <v>171</v>
      </c>
      <c r="T41" s="461">
        <f>T10</f>
        <v>186</v>
      </c>
      <c r="U41" s="389">
        <f>T41</f>
        <v>186</v>
      </c>
      <c r="V41" s="372"/>
      <c r="W41" s="384">
        <f>I41</f>
        <v>26.4</v>
      </c>
      <c r="X41" s="384">
        <f>K41</f>
        <v>51</v>
      </c>
      <c r="Y41" s="384">
        <f>P41</f>
        <v>126</v>
      </c>
      <c r="Z41" s="384">
        <f>S41</f>
        <v>171</v>
      </c>
      <c r="AA41" s="372"/>
      <c r="AB41" s="372"/>
      <c r="AC41" s="372"/>
      <c r="AD41" s="372"/>
      <c r="AE41" s="372"/>
      <c r="AF41" s="372"/>
      <c r="AG41" s="372"/>
      <c r="AH41" s="372"/>
      <c r="AI41" s="372"/>
    </row>
    <row r="42" spans="1:35" hidden="1" x14ac:dyDescent="0.3">
      <c r="A42" s="460"/>
      <c r="B42" s="460"/>
      <c r="C42" s="460"/>
      <c r="D42" s="454"/>
      <c r="E42" s="461"/>
      <c r="F42" s="461"/>
      <c r="G42" s="461"/>
      <c r="H42" s="461"/>
      <c r="I42" s="461"/>
      <c r="J42" s="461"/>
      <c r="K42" s="461"/>
      <c r="L42" s="461"/>
      <c r="M42" s="461"/>
      <c r="N42" s="461"/>
      <c r="O42" s="461"/>
      <c r="P42" s="461"/>
      <c r="Q42" s="461"/>
      <c r="R42" s="461"/>
      <c r="S42" s="461"/>
      <c r="T42" s="461"/>
      <c r="U42" s="389">
        <f t="shared" ref="U42" si="51">S42</f>
        <v>0</v>
      </c>
      <c r="V42" s="372"/>
      <c r="W42" s="384">
        <f>I42</f>
        <v>0</v>
      </c>
      <c r="X42" s="384">
        <f>K42</f>
        <v>0</v>
      </c>
      <c r="Y42" s="384">
        <f>P42</f>
        <v>0</v>
      </c>
      <c r="Z42" s="384">
        <f>S42</f>
        <v>0</v>
      </c>
      <c r="AA42" s="372"/>
      <c r="AB42" s="372"/>
      <c r="AC42" s="372"/>
      <c r="AD42" s="372"/>
      <c r="AE42" s="372"/>
      <c r="AF42" s="372"/>
      <c r="AG42" s="372"/>
      <c r="AH42" s="372"/>
      <c r="AI42" s="372"/>
    </row>
    <row r="43" spans="1:35" x14ac:dyDescent="0.3">
      <c r="A43" s="437"/>
      <c r="B43" s="436"/>
      <c r="C43" s="436"/>
      <c r="D43" s="435"/>
      <c r="E43" s="440"/>
      <c r="F43" s="440"/>
      <c r="G43" s="440"/>
      <c r="H43" s="385"/>
      <c r="I43" s="385"/>
      <c r="J43" s="385"/>
      <c r="K43" s="385"/>
      <c r="L43" s="385"/>
      <c r="M43" s="385"/>
      <c r="N43" s="385"/>
      <c r="O43" s="385"/>
      <c r="P43" s="385"/>
      <c r="Q43" s="385"/>
      <c r="R43" s="385"/>
      <c r="S43" s="385"/>
      <c r="T43" s="385"/>
      <c r="U43" s="384"/>
      <c r="V43" s="372"/>
      <c r="W43" s="376"/>
      <c r="X43" s="376"/>
      <c r="Y43" s="376"/>
      <c r="Z43" s="376"/>
      <c r="AA43" s="372"/>
      <c r="AB43" s="372"/>
      <c r="AC43" s="372"/>
      <c r="AD43" s="372"/>
      <c r="AE43" s="372"/>
      <c r="AF43" s="372"/>
      <c r="AG43" s="372"/>
      <c r="AH43" s="372"/>
      <c r="AI43" s="372"/>
    </row>
    <row r="44" spans="1:35" x14ac:dyDescent="0.3">
      <c r="A44" s="453" t="s">
        <v>376</v>
      </c>
      <c r="B44" s="462"/>
      <c r="C44" s="462"/>
      <c r="D44" s="454"/>
      <c r="E44" s="459"/>
      <c r="F44" s="459"/>
      <c r="G44" s="459"/>
      <c r="H44" s="388"/>
      <c r="I44" s="388"/>
      <c r="J44" s="388"/>
      <c r="K44" s="388"/>
      <c r="L44" s="388"/>
      <c r="M44" s="388"/>
      <c r="N44" s="388"/>
      <c r="O44" s="388"/>
      <c r="P44" s="388"/>
      <c r="Q44" s="388"/>
      <c r="R44" s="388"/>
      <c r="S44" s="388"/>
      <c r="T44" s="388"/>
      <c r="U44" s="389"/>
      <c r="V44" s="372"/>
      <c r="W44" s="376"/>
      <c r="X44" s="376"/>
      <c r="Y44" s="376"/>
      <c r="Z44" s="376"/>
      <c r="AA44" s="372"/>
      <c r="AB44" s="372"/>
      <c r="AC44" s="372"/>
      <c r="AD44" s="372"/>
      <c r="AE44" s="372"/>
      <c r="AF44" s="372"/>
      <c r="AG44" s="372"/>
      <c r="AH44" s="372"/>
      <c r="AI44" s="372"/>
    </row>
    <row r="45" spans="1:35" x14ac:dyDescent="0.3">
      <c r="A45" s="460" t="s">
        <v>1</v>
      </c>
      <c r="B45" s="462"/>
      <c r="C45" s="462"/>
      <c r="D45" s="454" t="s">
        <v>490</v>
      </c>
      <c r="E45" s="455"/>
      <c r="F45" s="455"/>
      <c r="G45" s="463">
        <f t="shared" ref="G45:H47" si="52">G18</f>
        <v>1680000</v>
      </c>
      <c r="H45" s="463">
        <f t="shared" si="52"/>
        <v>3360000</v>
      </c>
      <c r="I45" s="463">
        <f t="shared" ref="I45:S45" si="53">I18</f>
        <v>5280000</v>
      </c>
      <c r="J45" s="463">
        <f t="shared" si="53"/>
        <v>8880000</v>
      </c>
      <c r="K45" s="463">
        <f t="shared" si="53"/>
        <v>13560000</v>
      </c>
      <c r="L45" s="463">
        <f t="shared" si="53"/>
        <v>18480000</v>
      </c>
      <c r="M45" s="463">
        <f t="shared" si="53"/>
        <v>23400000</v>
      </c>
      <c r="N45" s="463">
        <f t="shared" si="53"/>
        <v>29400000</v>
      </c>
      <c r="O45" s="463">
        <f t="shared" si="53"/>
        <v>37080000</v>
      </c>
      <c r="P45" s="463">
        <f t="shared" si="53"/>
        <v>41760000</v>
      </c>
      <c r="Q45" s="463">
        <f t="shared" si="53"/>
        <v>56040000</v>
      </c>
      <c r="R45" s="463">
        <f t="shared" si="53"/>
        <v>67320000</v>
      </c>
      <c r="S45" s="463">
        <f t="shared" si="53"/>
        <v>83160000</v>
      </c>
      <c r="T45" s="463">
        <f t="shared" ref="T45" si="54">T18</f>
        <v>87600000</v>
      </c>
      <c r="U45" s="390">
        <f>SUM(E45:T45)</f>
        <v>477000000</v>
      </c>
      <c r="V45" s="372"/>
      <c r="W45" s="386">
        <f>SUM($G45:I45)</f>
        <v>10320000</v>
      </c>
      <c r="X45" s="386">
        <f>SUM($G45:K45)</f>
        <v>32760000</v>
      </c>
      <c r="Y45" s="386">
        <f>SUM($G45:P45)</f>
        <v>182880000</v>
      </c>
      <c r="Z45" s="386">
        <f>SUM($G45:S45)</f>
        <v>389400000</v>
      </c>
      <c r="AA45" s="372"/>
      <c r="AB45" s="372"/>
      <c r="AC45" s="372"/>
      <c r="AD45" s="372"/>
      <c r="AE45" s="372"/>
      <c r="AF45" s="372"/>
      <c r="AG45" s="372"/>
      <c r="AH45" s="372"/>
      <c r="AI45" s="372"/>
    </row>
    <row r="46" spans="1:35" x14ac:dyDescent="0.3">
      <c r="A46" s="460" t="s">
        <v>357</v>
      </c>
      <c r="B46" s="462"/>
      <c r="C46" s="462"/>
      <c r="D46" s="454" t="s">
        <v>490</v>
      </c>
      <c r="E46" s="455"/>
      <c r="F46" s="455"/>
      <c r="G46" s="463">
        <f t="shared" si="52"/>
        <v>840000</v>
      </c>
      <c r="H46" s="463">
        <f t="shared" si="52"/>
        <v>1680000</v>
      </c>
      <c r="I46" s="463">
        <f t="shared" ref="I46:S46" si="55">I19</f>
        <v>2640000</v>
      </c>
      <c r="J46" s="463">
        <f t="shared" si="55"/>
        <v>5784000</v>
      </c>
      <c r="K46" s="463">
        <f t="shared" si="55"/>
        <v>9468000</v>
      </c>
      <c r="L46" s="463">
        <f t="shared" si="55"/>
        <v>13464000</v>
      </c>
      <c r="M46" s="463">
        <f t="shared" si="55"/>
        <v>17460000</v>
      </c>
      <c r="N46" s="463">
        <f t="shared" si="55"/>
        <v>22860000</v>
      </c>
      <c r="O46" s="463">
        <f t="shared" si="55"/>
        <v>29772000</v>
      </c>
      <c r="P46" s="463">
        <f t="shared" si="55"/>
        <v>35184000</v>
      </c>
      <c r="Q46" s="463">
        <f t="shared" si="55"/>
        <v>46836000</v>
      </c>
      <c r="R46" s="463">
        <f t="shared" si="55"/>
        <v>56988000</v>
      </c>
      <c r="S46" s="463">
        <f t="shared" si="55"/>
        <v>71244000</v>
      </c>
      <c r="T46" s="463">
        <f t="shared" ref="T46" si="56">T19</f>
        <v>75240000</v>
      </c>
      <c r="U46" s="390">
        <f>SUM(E46:T46)</f>
        <v>389460000</v>
      </c>
      <c r="V46" s="372"/>
      <c r="W46" s="386">
        <f>SUM($G46:I46)</f>
        <v>5160000</v>
      </c>
      <c r="X46" s="386">
        <f>SUM($G46:K46)</f>
        <v>20412000</v>
      </c>
      <c r="Y46" s="386">
        <f>SUM($G46:P46)</f>
        <v>139152000</v>
      </c>
      <c r="Z46" s="386">
        <f>SUM($G46:S46)</f>
        <v>314220000</v>
      </c>
      <c r="AA46" s="372"/>
      <c r="AB46" s="391"/>
      <c r="AC46" s="372"/>
      <c r="AD46" s="372"/>
      <c r="AE46" s="372"/>
      <c r="AF46" s="372"/>
      <c r="AG46" s="372"/>
      <c r="AH46" s="372"/>
      <c r="AI46" s="372"/>
    </row>
    <row r="47" spans="1:35" x14ac:dyDescent="0.3">
      <c r="A47" s="460" t="s">
        <v>377</v>
      </c>
      <c r="B47" s="459"/>
      <c r="C47" s="464"/>
      <c r="D47" s="454" t="s">
        <v>490</v>
      </c>
      <c r="E47" s="455"/>
      <c r="F47" s="455"/>
      <c r="G47" s="463">
        <f t="shared" si="52"/>
        <v>613410.0940318557</v>
      </c>
      <c r="H47" s="463">
        <f t="shared" si="52"/>
        <v>1226820.1880637114</v>
      </c>
      <c r="I47" s="463">
        <f t="shared" ref="I47:S47" si="57">I20</f>
        <v>1927860.2955286892</v>
      </c>
      <c r="J47" s="463">
        <f t="shared" si="57"/>
        <v>3242310.4970255229</v>
      </c>
      <c r="K47" s="463">
        <f t="shared" si="57"/>
        <v>4951095.7589714071</v>
      </c>
      <c r="L47" s="463">
        <f t="shared" si="57"/>
        <v>6747511.034350412</v>
      </c>
      <c r="M47" s="463">
        <f t="shared" si="57"/>
        <v>8543926.3097294196</v>
      </c>
      <c r="N47" s="463">
        <f t="shared" si="57"/>
        <v>10734676.645557474</v>
      </c>
      <c r="O47" s="463">
        <f t="shared" si="57"/>
        <v>13538837.075417385</v>
      </c>
      <c r="P47" s="463">
        <f t="shared" si="57"/>
        <v>15247622.337363269</v>
      </c>
      <c r="Q47" s="463">
        <f t="shared" si="57"/>
        <v>20461608.136634041</v>
      </c>
      <c r="R47" s="463">
        <f t="shared" si="57"/>
        <v>24580218.76799079</v>
      </c>
      <c r="S47" s="463">
        <f t="shared" si="57"/>
        <v>30363799.654576853</v>
      </c>
      <c r="T47" s="463">
        <f t="shared" ref="T47" si="58">T20</f>
        <v>31984954.90308962</v>
      </c>
      <c r="U47" s="390">
        <f>SUM(E47:T47)</f>
        <v>174164651.69833043</v>
      </c>
      <c r="V47" s="372"/>
      <c r="W47" s="386">
        <f>SUM($G47:I47)</f>
        <v>3768090.5776242563</v>
      </c>
      <c r="X47" s="386">
        <f>SUM($G47:K47)</f>
        <v>11961496.833621185</v>
      </c>
      <c r="Y47" s="386">
        <f>SUM($G47:P47)</f>
        <v>66774070.236039147</v>
      </c>
      <c r="Z47" s="386">
        <f>SUM($G47:S47)</f>
        <v>142179696.79524082</v>
      </c>
      <c r="AA47" s="372"/>
      <c r="AB47" s="391"/>
      <c r="AC47" s="372"/>
      <c r="AD47" s="372"/>
      <c r="AE47" s="372"/>
      <c r="AF47" s="372"/>
      <c r="AG47" s="372"/>
      <c r="AH47" s="372"/>
      <c r="AI47" s="372"/>
    </row>
    <row r="48" spans="1:35" x14ac:dyDescent="0.3">
      <c r="A48" s="465"/>
      <c r="B48" s="466"/>
      <c r="C48" s="466"/>
      <c r="D48" s="467"/>
      <c r="E48" s="468"/>
      <c r="F48" s="468"/>
      <c r="G48" s="468"/>
      <c r="H48" s="392"/>
      <c r="I48" s="392"/>
      <c r="J48" s="392"/>
      <c r="K48" s="392"/>
      <c r="L48" s="392"/>
      <c r="M48" s="392"/>
      <c r="N48" s="392"/>
      <c r="O48" s="392"/>
      <c r="P48" s="392"/>
      <c r="Q48" s="392"/>
      <c r="R48" s="392"/>
      <c r="S48" s="392"/>
      <c r="T48" s="392"/>
      <c r="U48" s="393"/>
      <c r="V48" s="372"/>
      <c r="W48" s="372"/>
      <c r="X48" s="372"/>
      <c r="Y48" s="372"/>
      <c r="Z48" s="372"/>
      <c r="AA48" s="372"/>
      <c r="AB48" s="372"/>
      <c r="AC48" s="372"/>
      <c r="AD48" s="372"/>
      <c r="AE48" s="372"/>
      <c r="AF48" s="372"/>
      <c r="AG48" s="372"/>
      <c r="AH48" s="372"/>
      <c r="AI48" s="372"/>
    </row>
    <row r="49" spans="1:35" x14ac:dyDescent="0.3">
      <c r="A49" s="469" t="s">
        <v>359</v>
      </c>
      <c r="B49" s="466"/>
      <c r="C49" s="466"/>
      <c r="D49" s="467"/>
      <c r="E49" s="468"/>
      <c r="F49" s="468"/>
      <c r="G49" s="468"/>
      <c r="H49" s="392"/>
      <c r="I49" s="392"/>
      <c r="J49" s="392"/>
      <c r="K49" s="392"/>
      <c r="L49" s="392"/>
      <c r="M49" s="392"/>
      <c r="N49" s="392"/>
      <c r="O49" s="392"/>
      <c r="P49" s="392"/>
      <c r="Q49" s="392"/>
      <c r="R49" s="392"/>
      <c r="S49" s="392"/>
      <c r="T49" s="392"/>
      <c r="U49" s="393"/>
      <c r="V49" s="372"/>
      <c r="W49" s="372"/>
      <c r="X49" s="372"/>
      <c r="Y49" s="372"/>
      <c r="Z49" s="372"/>
      <c r="AA49" s="372"/>
      <c r="AB49" s="372"/>
      <c r="AC49" s="372"/>
      <c r="AD49" s="372"/>
      <c r="AE49" s="372"/>
      <c r="AF49" s="372"/>
      <c r="AG49" s="372"/>
      <c r="AH49" s="372"/>
      <c r="AI49" s="372"/>
    </row>
    <row r="50" spans="1:35" x14ac:dyDescent="0.3">
      <c r="A50" s="688"/>
      <c r="B50" s="688"/>
      <c r="C50" s="688"/>
      <c r="D50" s="689"/>
      <c r="E50" s="433">
        <f t="shared" ref="E50:U50" si="59">E3</f>
        <v>2024</v>
      </c>
      <c r="F50" s="433">
        <f t="shared" si="59"/>
        <v>2025</v>
      </c>
      <c r="G50" s="433">
        <f t="shared" si="59"/>
        <v>2026</v>
      </c>
      <c r="H50" s="433">
        <f t="shared" si="59"/>
        <v>2027</v>
      </c>
      <c r="I50" s="433">
        <f t="shared" si="59"/>
        <v>2028</v>
      </c>
      <c r="J50" s="433">
        <f t="shared" si="59"/>
        <v>2029</v>
      </c>
      <c r="K50" s="433">
        <f t="shared" si="59"/>
        <v>2030</v>
      </c>
      <c r="L50" s="433">
        <f t="shared" si="59"/>
        <v>2031</v>
      </c>
      <c r="M50" s="433">
        <f t="shared" si="59"/>
        <v>2032</v>
      </c>
      <c r="N50" s="433">
        <f t="shared" si="59"/>
        <v>2033</v>
      </c>
      <c r="O50" s="433">
        <f t="shared" si="59"/>
        <v>2034</v>
      </c>
      <c r="P50" s="433">
        <f t="shared" si="59"/>
        <v>2035</v>
      </c>
      <c r="Q50" s="433">
        <f t="shared" si="59"/>
        <v>2036</v>
      </c>
      <c r="R50" s="433">
        <f t="shared" si="59"/>
        <v>2037</v>
      </c>
      <c r="S50" s="433">
        <f t="shared" si="59"/>
        <v>2038</v>
      </c>
      <c r="T50" s="433">
        <f t="shared" ref="T50" si="60">T3</f>
        <v>2039</v>
      </c>
      <c r="U50" s="433" t="str">
        <f t="shared" si="59"/>
        <v>Kokku</v>
      </c>
      <c r="V50" s="372"/>
      <c r="W50" s="372"/>
      <c r="Y50" s="372"/>
      <c r="Z50" s="372"/>
      <c r="AA50" s="372"/>
      <c r="AB50" s="372"/>
      <c r="AC50" s="372"/>
      <c r="AD50" s="372"/>
      <c r="AE50" s="372"/>
      <c r="AF50" s="372"/>
      <c r="AG50" s="372"/>
      <c r="AH50" s="372"/>
      <c r="AI50" s="372"/>
    </row>
    <row r="51" spans="1:35" x14ac:dyDescent="0.3">
      <c r="A51" s="470" t="s">
        <v>360</v>
      </c>
      <c r="B51" s="470"/>
      <c r="C51" s="470"/>
      <c r="D51" s="435" t="s">
        <v>490</v>
      </c>
      <c r="E51" s="447">
        <f>'1. Projekti elluviimise kulud'!D41</f>
        <v>0</v>
      </c>
      <c r="F51" s="447">
        <f>'1. Projekti elluviimise kulud'!E41</f>
        <v>4302999.5</v>
      </c>
      <c r="G51" s="447">
        <f>'1. Projekti elluviimise kulud'!F41</f>
        <v>905387</v>
      </c>
      <c r="H51" s="387">
        <v>0</v>
      </c>
      <c r="I51" s="387">
        <v>0</v>
      </c>
      <c r="J51" s="387">
        <v>0</v>
      </c>
      <c r="K51" s="387">
        <v>0</v>
      </c>
      <c r="L51" s="387">
        <v>0</v>
      </c>
      <c r="M51" s="387">
        <v>0</v>
      </c>
      <c r="N51" s="387">
        <v>0</v>
      </c>
      <c r="O51" s="387">
        <v>0</v>
      </c>
      <c r="P51" s="387">
        <v>0</v>
      </c>
      <c r="Q51" s="387">
        <v>0</v>
      </c>
      <c r="R51" s="387">
        <v>0</v>
      </c>
      <c r="S51" s="387">
        <v>0</v>
      </c>
      <c r="T51" s="387">
        <v>0</v>
      </c>
      <c r="U51" s="589">
        <f>SUM(E51:S51)</f>
        <v>5208386.5</v>
      </c>
      <c r="V51" s="372"/>
      <c r="W51" s="391"/>
      <c r="X51" s="391"/>
      <c r="Y51" s="391"/>
      <c r="Z51" s="391"/>
      <c r="AA51" s="372"/>
      <c r="AB51" s="372"/>
      <c r="AC51" s="372"/>
      <c r="AD51" s="372"/>
      <c r="AE51" s="372"/>
      <c r="AF51" s="372"/>
      <c r="AG51" s="372"/>
      <c r="AH51" s="372"/>
      <c r="AI51" s="372"/>
    </row>
    <row r="52" spans="1:35" x14ac:dyDescent="0.3">
      <c r="A52" s="466"/>
      <c r="B52" s="466"/>
      <c r="C52" s="466"/>
      <c r="D52" s="467"/>
      <c r="E52" s="466"/>
      <c r="F52" s="466"/>
      <c r="G52" s="466"/>
      <c r="V52" s="372"/>
      <c r="W52" s="372"/>
      <c r="X52" s="372"/>
      <c r="Y52" s="372"/>
      <c r="Z52" s="372"/>
      <c r="AA52" s="372"/>
      <c r="AB52" s="372"/>
      <c r="AC52" s="372"/>
      <c r="AD52" s="372"/>
      <c r="AE52" s="372"/>
      <c r="AF52" s="372"/>
      <c r="AG52" s="372"/>
      <c r="AH52" s="372"/>
      <c r="AI52" s="372"/>
    </row>
    <row r="53" spans="1:35" x14ac:dyDescent="0.3">
      <c r="A53" s="470" t="s">
        <v>361</v>
      </c>
      <c r="B53" s="470"/>
      <c r="C53" s="470"/>
      <c r="D53" s="435" t="s">
        <v>490</v>
      </c>
      <c r="E53" s="447">
        <f t="shared" ref="E53:S53" si="61">E30</f>
        <v>0</v>
      </c>
      <c r="F53" s="447">
        <f t="shared" si="61"/>
        <v>0</v>
      </c>
      <c r="G53" s="447">
        <f t="shared" si="61"/>
        <v>324457.30235775735</v>
      </c>
      <c r="H53" s="387">
        <f t="shared" si="61"/>
        <v>644325.89584313077</v>
      </c>
      <c r="I53" s="387">
        <f t="shared" si="61"/>
        <v>1012512.1220392053</v>
      </c>
      <c r="J53" s="387">
        <f t="shared" si="61"/>
        <v>1906622.8387882952</v>
      </c>
      <c r="K53" s="387">
        <f t="shared" si="61"/>
        <v>3007838.3077726765</v>
      </c>
      <c r="L53" s="387">
        <f t="shared" si="61"/>
        <v>4307368.5555839185</v>
      </c>
      <c r="M53" s="387">
        <f t="shared" si="61"/>
        <v>5606898.8033951605</v>
      </c>
      <c r="N53" s="387">
        <f t="shared" si="61"/>
        <v>7262120.896383035</v>
      </c>
      <c r="O53" s="387">
        <f t="shared" si="61"/>
        <v>9418543.8005821258</v>
      </c>
      <c r="P53" s="387">
        <f t="shared" si="61"/>
        <v>11078864.610544905</v>
      </c>
      <c r="Q53" s="387">
        <f t="shared" si="61"/>
        <v>14771212.183758384</v>
      </c>
      <c r="R53" s="387">
        <f t="shared" si="61"/>
        <v>17888268.7785405</v>
      </c>
      <c r="S53" s="387">
        <f t="shared" si="61"/>
        <v>22338219.44204995</v>
      </c>
      <c r="T53" s="387">
        <f t="shared" ref="T53" si="62">T30</f>
        <v>23610853.008033633</v>
      </c>
      <c r="U53" s="387">
        <f>SUM(E53:T53)</f>
        <v>123178106.54567268</v>
      </c>
      <c r="V53" s="372"/>
      <c r="W53" s="372"/>
      <c r="X53" s="372"/>
      <c r="Y53" s="372"/>
      <c r="Z53" s="372"/>
      <c r="AA53" s="372"/>
      <c r="AB53" s="372"/>
      <c r="AC53" s="372"/>
      <c r="AD53" s="372"/>
      <c r="AE53" s="372"/>
      <c r="AF53" s="372"/>
      <c r="AG53" s="372"/>
      <c r="AH53" s="372"/>
      <c r="AI53" s="372"/>
    </row>
    <row r="54" spans="1:35" x14ac:dyDescent="0.3">
      <c r="A54" s="465"/>
      <c r="B54" s="466"/>
      <c r="C54" s="466"/>
      <c r="D54" s="467"/>
      <c r="E54" s="472"/>
      <c r="F54" s="472"/>
      <c r="G54" s="472"/>
      <c r="H54" s="395"/>
      <c r="I54" s="395"/>
      <c r="J54" s="395"/>
      <c r="K54" s="395"/>
      <c r="L54" s="395"/>
      <c r="M54" s="395"/>
      <c r="N54" s="395"/>
      <c r="O54" s="395"/>
      <c r="P54" s="395"/>
      <c r="Q54" s="395"/>
      <c r="R54" s="395"/>
      <c r="S54" s="395"/>
      <c r="T54" s="395"/>
      <c r="U54" s="395"/>
      <c r="V54" s="372"/>
      <c r="W54" s="372"/>
      <c r="X54" s="372"/>
      <c r="Y54" s="372"/>
      <c r="Z54" s="372"/>
      <c r="AA54" s="372"/>
      <c r="AB54" s="372"/>
      <c r="AC54" s="372"/>
      <c r="AD54" s="372"/>
      <c r="AE54" s="372"/>
      <c r="AF54" s="372"/>
      <c r="AG54" s="372"/>
      <c r="AH54" s="372"/>
      <c r="AI54" s="372"/>
    </row>
    <row r="55" spans="1:35" x14ac:dyDescent="0.3">
      <c r="A55" s="436" t="s">
        <v>251</v>
      </c>
      <c r="B55" s="436"/>
      <c r="C55" s="436"/>
      <c r="D55" s="435" t="s">
        <v>490</v>
      </c>
      <c r="E55" s="471">
        <f t="shared" ref="E55:S55" si="63">E53-E51</f>
        <v>0</v>
      </c>
      <c r="F55" s="471">
        <f t="shared" si="63"/>
        <v>-4302999.5</v>
      </c>
      <c r="G55" s="471">
        <f t="shared" si="63"/>
        <v>-580929.69764224265</v>
      </c>
      <c r="H55" s="394">
        <f t="shared" si="63"/>
        <v>644325.89584313077</v>
      </c>
      <c r="I55" s="387">
        <f t="shared" si="63"/>
        <v>1012512.1220392053</v>
      </c>
      <c r="J55" s="387">
        <f t="shared" si="63"/>
        <v>1906622.8387882952</v>
      </c>
      <c r="K55" s="387">
        <f t="shared" si="63"/>
        <v>3007838.3077726765</v>
      </c>
      <c r="L55" s="387">
        <f t="shared" si="63"/>
        <v>4307368.5555839185</v>
      </c>
      <c r="M55" s="387">
        <f t="shared" si="63"/>
        <v>5606898.8033951605</v>
      </c>
      <c r="N55" s="387">
        <f t="shared" si="63"/>
        <v>7262120.896383035</v>
      </c>
      <c r="O55" s="387">
        <f t="shared" si="63"/>
        <v>9418543.8005821258</v>
      </c>
      <c r="P55" s="387">
        <f t="shared" si="63"/>
        <v>11078864.610544905</v>
      </c>
      <c r="Q55" s="387">
        <f t="shared" si="63"/>
        <v>14771212.183758384</v>
      </c>
      <c r="R55" s="387">
        <f t="shared" si="63"/>
        <v>17888268.7785405</v>
      </c>
      <c r="S55" s="387">
        <f t="shared" si="63"/>
        <v>22338219.44204995</v>
      </c>
      <c r="T55" s="387">
        <f t="shared" ref="T55" si="64">T53-T51</f>
        <v>23610853.008033633</v>
      </c>
      <c r="U55" s="387">
        <f>SUM(E55:T55)</f>
        <v>117969720.04567268</v>
      </c>
      <c r="V55" s="372"/>
      <c r="W55" s="372"/>
      <c r="X55" s="372"/>
      <c r="Y55" s="372"/>
      <c r="Z55" s="372"/>
      <c r="AA55" s="372"/>
      <c r="AB55" s="372"/>
      <c r="AC55" s="372"/>
      <c r="AD55" s="372"/>
      <c r="AE55" s="372"/>
      <c r="AF55" s="372"/>
      <c r="AG55" s="372"/>
      <c r="AH55" s="372"/>
      <c r="AI55" s="372"/>
    </row>
    <row r="56" spans="1:35" x14ac:dyDescent="0.3">
      <c r="A56" s="466"/>
      <c r="B56" s="466"/>
      <c r="C56" s="466"/>
      <c r="D56" s="467"/>
      <c r="E56" s="473"/>
      <c r="F56" s="473"/>
      <c r="G56" s="473"/>
      <c r="H56" s="396"/>
      <c r="I56" s="395"/>
      <c r="J56" s="395"/>
      <c r="K56" s="395"/>
      <c r="L56" s="395"/>
      <c r="M56" s="395"/>
      <c r="N56" s="395"/>
      <c r="O56" s="395"/>
      <c r="P56" s="395"/>
      <c r="Q56" s="395"/>
      <c r="R56" s="395"/>
      <c r="S56" s="395"/>
      <c r="T56" s="395"/>
      <c r="U56" s="395"/>
      <c r="V56" s="372"/>
      <c r="W56" s="372"/>
      <c r="X56" s="372"/>
      <c r="Y56" s="372"/>
      <c r="Z56" s="372"/>
      <c r="AA56" s="372"/>
      <c r="AB56" s="372"/>
      <c r="AC56" s="372"/>
      <c r="AD56" s="372"/>
      <c r="AE56" s="372"/>
      <c r="AF56" s="372"/>
      <c r="AG56" s="372"/>
      <c r="AH56" s="372"/>
      <c r="AI56" s="372"/>
    </row>
    <row r="57" spans="1:35" ht="15.5" x14ac:dyDescent="0.35">
      <c r="A57" s="474" t="s">
        <v>362</v>
      </c>
      <c r="B57" s="474"/>
      <c r="C57" s="474"/>
      <c r="D57" s="435" t="s">
        <v>255</v>
      </c>
      <c r="E57" s="471">
        <f>E55</f>
        <v>0</v>
      </c>
      <c r="F57" s="471">
        <f t="shared" ref="F57:T57" si="65">E57+F55</f>
        <v>-4302999.5</v>
      </c>
      <c r="G57" s="471">
        <f t="shared" si="65"/>
        <v>-4883929.1976422425</v>
      </c>
      <c r="H57" s="394">
        <f t="shared" si="65"/>
        <v>-4239603.301799112</v>
      </c>
      <c r="I57" s="394">
        <f t="shared" si="65"/>
        <v>-3227091.1797599066</v>
      </c>
      <c r="J57" s="394">
        <f t="shared" si="65"/>
        <v>-1320468.3409716114</v>
      </c>
      <c r="K57" s="394">
        <f t="shared" si="65"/>
        <v>1687369.966801065</v>
      </c>
      <c r="L57" s="394">
        <f t="shared" si="65"/>
        <v>5994738.5223849835</v>
      </c>
      <c r="M57" s="394">
        <f t="shared" si="65"/>
        <v>11601637.325780144</v>
      </c>
      <c r="N57" s="394">
        <f t="shared" si="65"/>
        <v>18863758.222163178</v>
      </c>
      <c r="O57" s="394">
        <f t="shared" si="65"/>
        <v>28282302.022745304</v>
      </c>
      <c r="P57" s="394">
        <f t="shared" si="65"/>
        <v>39361166.633290209</v>
      </c>
      <c r="Q57" s="394">
        <f t="shared" si="65"/>
        <v>54132378.817048594</v>
      </c>
      <c r="R57" s="394">
        <f t="shared" si="65"/>
        <v>72020647.595589101</v>
      </c>
      <c r="S57" s="394">
        <f t="shared" si="65"/>
        <v>94358867.037639052</v>
      </c>
      <c r="T57" s="394">
        <f t="shared" si="65"/>
        <v>117969720.04567268</v>
      </c>
      <c r="U57" s="394"/>
      <c r="V57" s="372"/>
      <c r="W57" s="372"/>
      <c r="X57" s="372"/>
      <c r="Y57" s="372"/>
      <c r="Z57" s="372"/>
      <c r="AA57" s="372"/>
      <c r="AB57" s="372"/>
      <c r="AC57" s="372"/>
      <c r="AD57" s="372"/>
      <c r="AE57" s="372"/>
      <c r="AF57" s="372"/>
      <c r="AG57" s="372"/>
      <c r="AH57" s="372"/>
      <c r="AI57" s="372"/>
    </row>
    <row r="58" spans="1:35" x14ac:dyDescent="0.3">
      <c r="A58" s="466"/>
      <c r="B58" s="466"/>
      <c r="C58" s="466"/>
      <c r="D58" s="467"/>
      <c r="E58" s="466"/>
      <c r="F58" s="466"/>
      <c r="G58" s="466"/>
      <c r="V58" s="372"/>
      <c r="W58" s="372"/>
      <c r="X58" s="372"/>
      <c r="Y58" s="372"/>
      <c r="Z58" s="372"/>
      <c r="AA58" s="372"/>
      <c r="AB58" s="372"/>
      <c r="AC58" s="372"/>
      <c r="AD58" s="372"/>
      <c r="AE58" s="372"/>
      <c r="AF58" s="372"/>
      <c r="AG58" s="372"/>
      <c r="AH58" s="372"/>
      <c r="AI58" s="372"/>
    </row>
    <row r="59" spans="1:35" x14ac:dyDescent="0.3">
      <c r="A59" s="466" t="s">
        <v>363</v>
      </c>
      <c r="B59" s="466"/>
      <c r="C59" s="466"/>
      <c r="D59" s="475">
        <v>0.04</v>
      </c>
      <c r="E59" s="466"/>
      <c r="F59" s="466"/>
      <c r="G59" s="466"/>
      <c r="V59" s="372"/>
      <c r="W59" s="372"/>
      <c r="X59" s="372"/>
      <c r="Y59" s="372"/>
      <c r="Z59" s="372"/>
      <c r="AA59" s="372"/>
      <c r="AB59" s="372"/>
      <c r="AC59" s="372"/>
      <c r="AD59" s="372"/>
      <c r="AE59" s="372"/>
      <c r="AF59" s="372"/>
      <c r="AG59" s="372"/>
      <c r="AH59" s="372"/>
      <c r="AI59" s="372"/>
    </row>
    <row r="60" spans="1:35" ht="15.5" x14ac:dyDescent="0.35">
      <c r="A60" s="474" t="s">
        <v>364</v>
      </c>
      <c r="B60" s="474"/>
      <c r="C60" s="474"/>
      <c r="D60" s="378"/>
      <c r="E60" s="397">
        <v>1</v>
      </c>
      <c r="F60" s="397">
        <f>1+D59</f>
        <v>1.04</v>
      </c>
      <c r="G60" s="397">
        <f>$F$60*F60</f>
        <v>1.0816000000000001</v>
      </c>
      <c r="H60" s="397">
        <f>$F$60*G60</f>
        <v>1.1248640000000001</v>
      </c>
      <c r="I60" s="397">
        <f t="shared" ref="I60:T60" si="66">$F$60*H60</f>
        <v>1.1698585600000002</v>
      </c>
      <c r="J60" s="397">
        <f t="shared" si="66"/>
        <v>1.2166529024000003</v>
      </c>
      <c r="K60" s="397">
        <f t="shared" si="66"/>
        <v>1.2653190184960004</v>
      </c>
      <c r="L60" s="397">
        <f t="shared" si="66"/>
        <v>1.3159317792358405</v>
      </c>
      <c r="M60" s="397">
        <f t="shared" si="66"/>
        <v>1.3685690504052741</v>
      </c>
      <c r="N60" s="397">
        <f t="shared" si="66"/>
        <v>1.4233118124214852</v>
      </c>
      <c r="O60" s="397">
        <f t="shared" si="66"/>
        <v>1.4802442849183446</v>
      </c>
      <c r="P60" s="397">
        <f t="shared" si="66"/>
        <v>1.5394540563150785</v>
      </c>
      <c r="Q60" s="397">
        <f t="shared" si="66"/>
        <v>1.6010322185676817</v>
      </c>
      <c r="R60" s="397">
        <f t="shared" si="66"/>
        <v>1.6650735073103891</v>
      </c>
      <c r="S60" s="397">
        <f t="shared" si="66"/>
        <v>1.7316764476028046</v>
      </c>
      <c r="T60" s="397">
        <f t="shared" si="66"/>
        <v>1.8009435055069167</v>
      </c>
      <c r="V60" s="372"/>
      <c r="W60" s="372"/>
      <c r="X60" s="372"/>
      <c r="Y60" s="372"/>
      <c r="Z60" s="372"/>
      <c r="AA60" s="372"/>
      <c r="AB60" s="372"/>
      <c r="AC60" s="372"/>
      <c r="AD60" s="372"/>
      <c r="AE60" s="372"/>
      <c r="AF60" s="372"/>
      <c r="AG60" s="372"/>
      <c r="AH60" s="372"/>
      <c r="AI60" s="372"/>
    </row>
    <row r="61" spans="1:35" ht="15.5" x14ac:dyDescent="0.35">
      <c r="A61" s="476"/>
      <c r="B61" s="476"/>
      <c r="C61" s="476"/>
      <c r="D61" s="477"/>
      <c r="E61" s="398"/>
      <c r="F61" s="398"/>
      <c r="G61" s="398"/>
      <c r="H61" s="398"/>
      <c r="I61" s="398"/>
      <c r="J61" s="398"/>
      <c r="K61" s="398"/>
      <c r="L61" s="398"/>
      <c r="M61" s="398"/>
      <c r="N61" s="398"/>
      <c r="O61" s="398"/>
      <c r="P61" s="398"/>
      <c r="Q61" s="398"/>
      <c r="R61" s="398"/>
      <c r="S61" s="398"/>
      <c r="T61" s="398"/>
      <c r="V61" s="372"/>
      <c r="W61" s="372"/>
      <c r="X61" s="372"/>
      <c r="Y61" s="372"/>
      <c r="Z61" s="372"/>
      <c r="AA61" s="372"/>
      <c r="AB61" s="372"/>
      <c r="AC61" s="372"/>
      <c r="AD61" s="372"/>
      <c r="AE61" s="372"/>
      <c r="AF61" s="372"/>
      <c r="AG61" s="372"/>
      <c r="AH61" s="372"/>
      <c r="AI61" s="372"/>
    </row>
    <row r="62" spans="1:35" ht="15.5" x14ac:dyDescent="0.35">
      <c r="A62" s="474" t="s">
        <v>365</v>
      </c>
      <c r="B62" s="474"/>
      <c r="C62" s="474"/>
      <c r="D62" s="378"/>
      <c r="E62" s="447">
        <f t="shared" ref="E62:S62" si="67">E51/E60</f>
        <v>0</v>
      </c>
      <c r="F62" s="447">
        <f t="shared" si="67"/>
        <v>4137499.519230769</v>
      </c>
      <c r="G62" s="447">
        <f t="shared" si="67"/>
        <v>837081.17603550293</v>
      </c>
      <c r="H62" s="387">
        <f t="shared" si="67"/>
        <v>0</v>
      </c>
      <c r="I62" s="387">
        <f t="shared" si="67"/>
        <v>0</v>
      </c>
      <c r="J62" s="387">
        <f t="shared" si="67"/>
        <v>0</v>
      </c>
      <c r="K62" s="387">
        <f t="shared" si="67"/>
        <v>0</v>
      </c>
      <c r="L62" s="387">
        <f t="shared" si="67"/>
        <v>0</v>
      </c>
      <c r="M62" s="387">
        <f t="shared" si="67"/>
        <v>0</v>
      </c>
      <c r="N62" s="387">
        <f t="shared" si="67"/>
        <v>0</v>
      </c>
      <c r="O62" s="387">
        <f t="shared" si="67"/>
        <v>0</v>
      </c>
      <c r="P62" s="387">
        <f t="shared" si="67"/>
        <v>0</v>
      </c>
      <c r="Q62" s="387">
        <f t="shared" si="67"/>
        <v>0</v>
      </c>
      <c r="R62" s="387">
        <f t="shared" si="67"/>
        <v>0</v>
      </c>
      <c r="S62" s="387">
        <f t="shared" si="67"/>
        <v>0</v>
      </c>
      <c r="T62" s="387">
        <f t="shared" ref="T62" si="68">T51/T60</f>
        <v>0</v>
      </c>
      <c r="U62" s="387">
        <f>SUM(E62:S62)</f>
        <v>4974580.6952662719</v>
      </c>
      <c r="V62" s="372"/>
      <c r="W62" s="372"/>
      <c r="X62" s="372"/>
      <c r="Y62" s="372"/>
      <c r="Z62" s="372"/>
      <c r="AA62" s="372"/>
      <c r="AB62" s="372"/>
      <c r="AC62" s="372"/>
      <c r="AD62" s="372"/>
      <c r="AE62" s="372"/>
      <c r="AF62" s="372"/>
      <c r="AG62" s="372"/>
      <c r="AH62" s="372"/>
      <c r="AI62" s="372"/>
    </row>
    <row r="63" spans="1:35" ht="15.5" x14ac:dyDescent="0.35">
      <c r="A63" s="476"/>
      <c r="B63" s="476"/>
      <c r="C63" s="476"/>
      <c r="D63" s="477"/>
      <c r="E63" s="398"/>
      <c r="F63" s="398"/>
      <c r="G63" s="398"/>
      <c r="H63" s="398"/>
      <c r="I63" s="398"/>
      <c r="J63" s="398"/>
      <c r="K63" s="398"/>
      <c r="L63" s="398"/>
      <c r="M63" s="398"/>
      <c r="N63" s="398"/>
      <c r="O63" s="398"/>
      <c r="P63" s="398"/>
      <c r="Q63" s="398"/>
      <c r="R63" s="398"/>
      <c r="S63" s="398"/>
      <c r="T63" s="398"/>
      <c r="V63" s="372"/>
      <c r="W63" s="372"/>
      <c r="X63" s="372"/>
      <c r="Y63" s="372"/>
      <c r="Z63" s="372"/>
      <c r="AA63" s="372"/>
      <c r="AB63" s="372"/>
      <c r="AC63" s="372"/>
      <c r="AD63" s="372"/>
      <c r="AE63" s="372"/>
      <c r="AF63" s="372"/>
      <c r="AG63" s="372"/>
      <c r="AH63" s="372"/>
      <c r="AI63" s="372"/>
    </row>
    <row r="64" spans="1:35" ht="15.5" x14ac:dyDescent="0.35">
      <c r="A64" s="474" t="s">
        <v>366</v>
      </c>
      <c r="B64" s="474"/>
      <c r="C64" s="474"/>
      <c r="D64" s="435" t="s">
        <v>490</v>
      </c>
      <c r="E64" s="447">
        <f t="shared" ref="E64:S64" si="69">E53/E60</f>
        <v>0</v>
      </c>
      <c r="F64" s="447">
        <f t="shared" si="69"/>
        <v>0</v>
      </c>
      <c r="G64" s="447">
        <f t="shared" si="69"/>
        <v>299979.01475384366</v>
      </c>
      <c r="H64" s="387">
        <f t="shared" si="69"/>
        <v>572803.37520191842</v>
      </c>
      <c r="I64" s="387">
        <f t="shared" si="69"/>
        <v>865499.60538751376</v>
      </c>
      <c r="J64" s="387">
        <f t="shared" si="69"/>
        <v>1567104.993566565</v>
      </c>
      <c r="K64" s="387">
        <f t="shared" si="69"/>
        <v>2377138.3056803267</v>
      </c>
      <c r="L64" s="387">
        <f t="shared" si="69"/>
        <v>3273246.0934146605</v>
      </c>
      <c r="M64" s="387">
        <f t="shared" si="69"/>
        <v>4096906.0360781872</v>
      </c>
      <c r="N64" s="387">
        <f t="shared" si="69"/>
        <v>5102269.8139685672</v>
      </c>
      <c r="O64" s="387">
        <f t="shared" si="69"/>
        <v>6362830.7141896412</v>
      </c>
      <c r="P64" s="387">
        <f t="shared" si="69"/>
        <v>7196619.1943810796</v>
      </c>
      <c r="Q64" s="387">
        <f t="shared" si="69"/>
        <v>9226055.548696598</v>
      </c>
      <c r="R64" s="387">
        <f t="shared" si="69"/>
        <v>10743230.674203454</v>
      </c>
      <c r="S64" s="387">
        <f t="shared" si="69"/>
        <v>12899765.122389467</v>
      </c>
      <c r="T64" s="387">
        <f t="shared" ref="T64" si="70">T53/T60</f>
        <v>13110268.554142024</v>
      </c>
      <c r="U64" s="387">
        <f>SUM(E64:T64)</f>
        <v>77693717.046053842</v>
      </c>
      <c r="V64" s="372"/>
      <c r="W64" s="372"/>
      <c r="X64" s="372"/>
      <c r="Y64" s="372"/>
      <c r="Z64" s="372"/>
      <c r="AA64" s="372"/>
      <c r="AB64" s="372"/>
      <c r="AC64" s="372"/>
      <c r="AD64" s="372"/>
      <c r="AE64" s="372"/>
      <c r="AF64" s="372"/>
      <c r="AG64" s="372"/>
      <c r="AH64" s="372"/>
      <c r="AI64" s="372"/>
    </row>
    <row r="65" spans="1:35" x14ac:dyDescent="0.3">
      <c r="A65" s="466"/>
      <c r="B65" s="466"/>
      <c r="C65" s="466"/>
      <c r="D65" s="467"/>
      <c r="E65" s="466"/>
      <c r="F65" s="466"/>
      <c r="G65" s="466"/>
      <c r="V65" s="372"/>
      <c r="W65" s="372"/>
      <c r="X65" s="372"/>
      <c r="Y65" s="372"/>
      <c r="Z65" s="372"/>
      <c r="AA65" s="372"/>
      <c r="AB65" s="372"/>
      <c r="AC65" s="372"/>
      <c r="AD65" s="372"/>
      <c r="AE65" s="372"/>
      <c r="AF65" s="372"/>
      <c r="AG65" s="372"/>
      <c r="AH65" s="372"/>
      <c r="AI65" s="372"/>
    </row>
    <row r="66" spans="1:35" ht="15.5" x14ac:dyDescent="0.35">
      <c r="A66" s="474" t="s">
        <v>367</v>
      </c>
      <c r="B66" s="474"/>
      <c r="C66" s="474"/>
      <c r="D66" s="435" t="s">
        <v>490</v>
      </c>
      <c r="E66" s="471">
        <f t="shared" ref="E66:S66" si="71">E64-E62</f>
        <v>0</v>
      </c>
      <c r="F66" s="471">
        <f t="shared" si="71"/>
        <v>-4137499.519230769</v>
      </c>
      <c r="G66" s="471">
        <f t="shared" si="71"/>
        <v>-537102.16128165927</v>
      </c>
      <c r="H66" s="394">
        <f t="shared" si="71"/>
        <v>572803.37520191842</v>
      </c>
      <c r="I66" s="394">
        <f t="shared" si="71"/>
        <v>865499.60538751376</v>
      </c>
      <c r="J66" s="394">
        <f t="shared" si="71"/>
        <v>1567104.993566565</v>
      </c>
      <c r="K66" s="394">
        <f t="shared" si="71"/>
        <v>2377138.3056803267</v>
      </c>
      <c r="L66" s="394">
        <f t="shared" si="71"/>
        <v>3273246.0934146605</v>
      </c>
      <c r="M66" s="394">
        <f t="shared" si="71"/>
        <v>4096906.0360781872</v>
      </c>
      <c r="N66" s="394">
        <f t="shared" si="71"/>
        <v>5102269.8139685672</v>
      </c>
      <c r="O66" s="394">
        <f t="shared" si="71"/>
        <v>6362830.7141896412</v>
      </c>
      <c r="P66" s="394">
        <f t="shared" si="71"/>
        <v>7196619.1943810796</v>
      </c>
      <c r="Q66" s="394">
        <f t="shared" si="71"/>
        <v>9226055.548696598</v>
      </c>
      <c r="R66" s="394">
        <f t="shared" si="71"/>
        <v>10743230.674203454</v>
      </c>
      <c r="S66" s="394">
        <f t="shared" si="71"/>
        <v>12899765.122389467</v>
      </c>
      <c r="T66" s="394">
        <f t="shared" ref="T66" si="72">T64-T62</f>
        <v>13110268.554142024</v>
      </c>
      <c r="U66" s="387">
        <f>SUM(E66:T66)</f>
        <v>72719136.35078758</v>
      </c>
      <c r="V66" s="372"/>
      <c r="W66" s="372"/>
      <c r="X66" s="372"/>
      <c r="Y66" s="372"/>
      <c r="Z66" s="372"/>
      <c r="AA66" s="372"/>
      <c r="AB66" s="372"/>
      <c r="AC66" s="372"/>
      <c r="AD66" s="372"/>
      <c r="AE66" s="372"/>
      <c r="AF66" s="372"/>
      <c r="AG66" s="372"/>
      <c r="AH66" s="372"/>
      <c r="AI66" s="372"/>
    </row>
    <row r="67" spans="1:35" ht="16" thickBot="1" x14ac:dyDescent="0.4">
      <c r="A67" s="476"/>
      <c r="B67" s="476"/>
      <c r="C67" s="476"/>
      <c r="D67" s="399"/>
      <c r="E67" s="399"/>
      <c r="F67" s="399"/>
      <c r="G67" s="399"/>
      <c r="H67" s="399"/>
      <c r="I67" s="399"/>
      <c r="J67" s="399"/>
      <c r="U67" s="400" t="s">
        <v>252</v>
      </c>
      <c r="V67" s="372"/>
      <c r="W67" s="372"/>
      <c r="X67" s="372"/>
      <c r="Y67" s="372"/>
      <c r="Z67" s="372"/>
      <c r="AA67" s="372"/>
      <c r="AB67" s="372"/>
      <c r="AC67" s="372"/>
      <c r="AD67" s="372"/>
      <c r="AE67" s="372"/>
      <c r="AF67" s="372"/>
      <c r="AG67" s="372"/>
      <c r="AH67" s="372"/>
      <c r="AI67" s="372"/>
    </row>
    <row r="68" spans="1:35" ht="31" x14ac:dyDescent="0.35">
      <c r="A68" s="478" t="s">
        <v>368</v>
      </c>
      <c r="B68" s="478"/>
      <c r="C68" s="478"/>
      <c r="D68" s="454" t="s">
        <v>255</v>
      </c>
      <c r="E68" s="479">
        <f>E66</f>
        <v>0</v>
      </c>
      <c r="F68" s="479">
        <f t="shared" ref="F68:T68" si="73">E68+F66</f>
        <v>-4137499.519230769</v>
      </c>
      <c r="G68" s="479">
        <f t="shared" si="73"/>
        <v>-4674601.6805124283</v>
      </c>
      <c r="H68" s="401">
        <f t="shared" si="73"/>
        <v>-4101798.3053105101</v>
      </c>
      <c r="I68" s="401">
        <f t="shared" si="73"/>
        <v>-3236298.6999229966</v>
      </c>
      <c r="J68" s="401">
        <f t="shared" si="73"/>
        <v>-1669193.7063564316</v>
      </c>
      <c r="K68" s="401">
        <f t="shared" si="73"/>
        <v>707944.59932389506</v>
      </c>
      <c r="L68" s="401">
        <f t="shared" si="73"/>
        <v>3981190.6927385554</v>
      </c>
      <c r="M68" s="401">
        <f t="shared" si="73"/>
        <v>8078096.7288167421</v>
      </c>
      <c r="N68" s="401">
        <f t="shared" si="73"/>
        <v>13180366.542785309</v>
      </c>
      <c r="O68" s="401">
        <f t="shared" si="73"/>
        <v>19543197.25697495</v>
      </c>
      <c r="P68" s="401">
        <f t="shared" si="73"/>
        <v>26739816.451356031</v>
      </c>
      <c r="Q68" s="401">
        <f t="shared" si="73"/>
        <v>35965872.000052631</v>
      </c>
      <c r="R68" s="401">
        <f t="shared" si="73"/>
        <v>46709102.674256086</v>
      </c>
      <c r="S68" s="401">
        <f t="shared" si="73"/>
        <v>59608867.796645552</v>
      </c>
      <c r="T68" s="401">
        <f t="shared" si="73"/>
        <v>72719136.35078758</v>
      </c>
      <c r="U68" s="402">
        <f>MAX(E68:T68)</f>
        <v>72719136.35078758</v>
      </c>
      <c r="V68" s="372"/>
      <c r="W68" s="372"/>
      <c r="X68" s="372"/>
      <c r="Y68" s="372"/>
      <c r="Z68" s="372"/>
      <c r="AA68" s="372"/>
      <c r="AB68" s="372"/>
      <c r="AC68" s="372"/>
      <c r="AD68" s="372"/>
      <c r="AE68" s="372"/>
      <c r="AF68" s="372"/>
      <c r="AG68" s="372"/>
      <c r="AH68" s="372"/>
      <c r="AI68" s="372"/>
    </row>
    <row r="69" spans="1:35" x14ac:dyDescent="0.3">
      <c r="A69" s="480"/>
      <c r="B69" s="480"/>
      <c r="C69" s="480"/>
      <c r="D69" s="481"/>
      <c r="E69" s="480"/>
      <c r="F69" s="480"/>
      <c r="G69" s="480"/>
      <c r="H69" s="403"/>
      <c r="I69" s="403"/>
      <c r="J69" s="403"/>
      <c r="K69" s="403"/>
      <c r="L69" s="403"/>
      <c r="M69" s="403"/>
      <c r="N69" s="403"/>
      <c r="O69" s="403"/>
      <c r="P69" s="403"/>
      <c r="Q69" s="403"/>
      <c r="R69" s="403"/>
      <c r="S69" s="403"/>
      <c r="T69" s="403"/>
      <c r="U69" s="403"/>
      <c r="V69" s="372"/>
      <c r="W69" s="372"/>
      <c r="X69" s="372"/>
      <c r="Y69" s="372"/>
      <c r="Z69" s="372"/>
      <c r="AA69" s="372"/>
      <c r="AB69" s="372"/>
      <c r="AC69" s="372"/>
      <c r="AD69" s="372"/>
      <c r="AE69" s="372"/>
      <c r="AF69" s="372"/>
      <c r="AG69" s="372"/>
      <c r="AH69" s="372"/>
      <c r="AI69" s="372"/>
    </row>
    <row r="70" spans="1:35" ht="14.5" thickBot="1" x14ac:dyDescent="0.35">
      <c r="A70" s="480"/>
      <c r="B70" s="480"/>
      <c r="C70" s="480"/>
      <c r="D70" s="481"/>
      <c r="E70" s="480"/>
      <c r="F70" s="480"/>
      <c r="G70" s="480"/>
      <c r="H70" s="403"/>
      <c r="I70" s="403"/>
      <c r="J70" s="403"/>
      <c r="K70" s="403"/>
      <c r="L70" s="403"/>
      <c r="M70" s="403"/>
      <c r="N70" s="403"/>
      <c r="O70" s="403"/>
      <c r="P70" s="403"/>
      <c r="Q70" s="403"/>
      <c r="R70" s="403"/>
      <c r="S70" s="403"/>
      <c r="T70" s="403"/>
      <c r="U70" s="403"/>
      <c r="V70" s="372"/>
      <c r="W70" s="372"/>
      <c r="X70" s="372"/>
      <c r="Y70" s="372"/>
      <c r="Z70" s="372"/>
      <c r="AA70" s="372"/>
      <c r="AB70" s="372"/>
      <c r="AC70" s="372"/>
      <c r="AD70" s="372"/>
      <c r="AE70" s="372"/>
      <c r="AF70" s="372"/>
      <c r="AG70" s="372"/>
      <c r="AH70" s="372"/>
      <c r="AI70" s="372"/>
    </row>
    <row r="71" spans="1:35" ht="16" thickBot="1" x14ac:dyDescent="0.4">
      <c r="A71" s="480"/>
      <c r="B71" s="832" t="s">
        <v>76</v>
      </c>
      <c r="C71" s="833"/>
      <c r="D71" s="840" t="s">
        <v>253</v>
      </c>
      <c r="E71" s="841"/>
      <c r="F71" s="403"/>
      <c r="G71" s="403"/>
      <c r="H71" s="403"/>
      <c r="I71" s="403"/>
      <c r="J71" s="403"/>
      <c r="K71" s="403"/>
      <c r="L71" s="403"/>
      <c r="M71" s="403"/>
      <c r="N71" s="403"/>
      <c r="O71" s="403"/>
      <c r="P71" s="403"/>
      <c r="Q71" s="403"/>
      <c r="R71" s="403"/>
      <c r="S71" s="403"/>
      <c r="T71" s="403"/>
      <c r="V71" s="372"/>
      <c r="W71" s="372"/>
      <c r="X71" s="372"/>
      <c r="Y71" s="372"/>
      <c r="Z71" s="372"/>
      <c r="AA71" s="372"/>
      <c r="AB71" s="372"/>
      <c r="AC71" s="372"/>
      <c r="AD71" s="372"/>
      <c r="AE71" s="372"/>
      <c r="AF71" s="372"/>
      <c r="AG71" s="372"/>
    </row>
    <row r="72" spans="1:35" ht="50.25" customHeight="1" thickBot="1" x14ac:dyDescent="0.4">
      <c r="A72" s="404"/>
      <c r="B72" s="834"/>
      <c r="C72" s="835"/>
      <c r="D72" s="836"/>
      <c r="E72" s="837"/>
      <c r="F72" s="838"/>
      <c r="G72" s="838"/>
      <c r="H72" s="403"/>
      <c r="I72" s="403"/>
      <c r="J72" s="403"/>
      <c r="K72" s="403"/>
      <c r="L72" s="403"/>
      <c r="M72" s="403"/>
      <c r="N72" s="403"/>
      <c r="O72" s="403"/>
      <c r="P72" s="403"/>
      <c r="Q72" s="403"/>
      <c r="R72" s="403"/>
      <c r="S72" s="403"/>
      <c r="T72" s="403"/>
      <c r="V72" s="372"/>
      <c r="W72" s="372"/>
      <c r="X72" s="372"/>
      <c r="Y72" s="372"/>
      <c r="Z72" s="372"/>
      <c r="AA72" s="372"/>
      <c r="AB72" s="372"/>
      <c r="AC72" s="372"/>
      <c r="AD72" s="372"/>
      <c r="AE72" s="372"/>
      <c r="AF72" s="372"/>
      <c r="AG72" s="372"/>
    </row>
    <row r="73" spans="1:35" ht="15.5" x14ac:dyDescent="0.35">
      <c r="A73" s="480"/>
      <c r="B73" s="842" t="s">
        <v>254</v>
      </c>
      <c r="C73" s="843"/>
      <c r="D73" s="482">
        <f>U68</f>
        <v>72719136.35078758</v>
      </c>
      <c r="E73" s="405" t="s">
        <v>255</v>
      </c>
      <c r="F73" s="406"/>
      <c r="G73" s="407">
        <f>D75/4%</f>
        <v>10.438199698681899</v>
      </c>
      <c r="H73" s="407" t="e">
        <f>#REF!/4%</f>
        <v>#REF!</v>
      </c>
      <c r="I73" s="403"/>
      <c r="J73" s="403"/>
      <c r="K73" s="403"/>
      <c r="L73" s="403"/>
      <c r="M73" s="403"/>
      <c r="N73" s="403"/>
      <c r="O73" s="403"/>
      <c r="P73" s="403"/>
      <c r="Q73" s="403"/>
      <c r="R73" s="403"/>
      <c r="S73" s="403"/>
      <c r="T73" s="403"/>
      <c r="V73" s="372"/>
      <c r="W73" s="372"/>
      <c r="X73" s="372"/>
      <c r="Y73" s="372"/>
      <c r="Z73" s="372"/>
      <c r="AA73" s="372"/>
      <c r="AB73" s="372"/>
      <c r="AC73" s="372"/>
      <c r="AD73" s="372"/>
      <c r="AE73" s="372"/>
      <c r="AF73" s="372"/>
      <c r="AG73" s="372"/>
    </row>
    <row r="74" spans="1:35" ht="15.5" x14ac:dyDescent="0.35">
      <c r="A74" s="480"/>
      <c r="B74" s="844" t="s">
        <v>256</v>
      </c>
      <c r="C74" s="845"/>
      <c r="D74" s="726">
        <f>U64/U62</f>
        <v>15.618143880947773</v>
      </c>
      <c r="E74" s="408"/>
      <c r="F74" s="406"/>
      <c r="G74" s="409"/>
      <c r="H74" s="403"/>
      <c r="I74" s="403"/>
      <c r="J74" s="403"/>
      <c r="K74" s="403"/>
      <c r="L74" s="403"/>
      <c r="M74" s="403"/>
      <c r="N74" s="403"/>
      <c r="O74" s="403"/>
      <c r="P74" s="403"/>
      <c r="Q74" s="403"/>
      <c r="R74" s="403"/>
      <c r="S74" s="403"/>
      <c r="T74" s="403"/>
      <c r="V74" s="372"/>
      <c r="W74" s="372"/>
      <c r="X74" s="372"/>
      <c r="Y74" s="372"/>
      <c r="Z74" s="372"/>
      <c r="AA74" s="372"/>
      <c r="AB74" s="372"/>
      <c r="AC74" s="372"/>
      <c r="AD74" s="372"/>
      <c r="AE74" s="372"/>
      <c r="AF74" s="372"/>
      <c r="AG74" s="372"/>
    </row>
    <row r="75" spans="1:35" ht="15.5" x14ac:dyDescent="0.35">
      <c r="A75" s="480"/>
      <c r="B75" s="844" t="s">
        <v>257</v>
      </c>
      <c r="C75" s="845"/>
      <c r="D75" s="410">
        <f>IRR(F55:S55,1050)</f>
        <v>0.41752798794727597</v>
      </c>
      <c r="E75" s="408"/>
      <c r="F75" s="406"/>
      <c r="G75" s="409"/>
      <c r="H75" s="403"/>
      <c r="I75" s="403"/>
      <c r="J75" s="403"/>
      <c r="K75" s="403"/>
      <c r="L75" s="403"/>
      <c r="M75" s="403"/>
      <c r="N75" s="403"/>
      <c r="O75" s="403"/>
      <c r="P75" s="403"/>
      <c r="Q75" s="403"/>
      <c r="R75" s="403"/>
      <c r="S75" s="403"/>
      <c r="T75" s="403"/>
      <c r="V75" s="372"/>
      <c r="W75" s="372"/>
      <c r="X75" s="372"/>
      <c r="Y75" s="372"/>
      <c r="Z75" s="372"/>
      <c r="AA75" s="372"/>
      <c r="AB75" s="372"/>
      <c r="AC75" s="372"/>
      <c r="AD75" s="372"/>
      <c r="AE75" s="372"/>
      <c r="AF75" s="372"/>
      <c r="AG75" s="372"/>
    </row>
    <row r="76" spans="1:35" ht="16" thickBot="1" x14ac:dyDescent="0.4">
      <c r="A76" s="480"/>
      <c r="B76" s="846" t="s">
        <v>258</v>
      </c>
      <c r="C76" s="847"/>
      <c r="D76" s="411">
        <f>COUNTIF(F68:S68,"&lt;0")</f>
        <v>5</v>
      </c>
      <c r="E76" s="412" t="s">
        <v>259</v>
      </c>
      <c r="F76" s="413"/>
      <c r="G76" s="409"/>
      <c r="H76" s="403"/>
      <c r="I76" s="403"/>
      <c r="J76" s="403"/>
      <c r="K76" s="403"/>
      <c r="L76" s="403"/>
      <c r="M76" s="403"/>
      <c r="N76" s="403"/>
      <c r="O76" s="403"/>
      <c r="P76" s="403"/>
      <c r="Q76" s="403"/>
      <c r="R76" s="403"/>
      <c r="S76" s="403"/>
      <c r="T76" s="403"/>
      <c r="V76" s="372"/>
      <c r="W76" s="372"/>
      <c r="X76" s="372"/>
      <c r="Y76" s="372"/>
      <c r="Z76" s="372"/>
      <c r="AA76" s="372"/>
      <c r="AB76" s="372"/>
      <c r="AC76" s="372"/>
      <c r="AD76" s="372"/>
      <c r="AE76" s="372"/>
      <c r="AF76" s="372"/>
      <c r="AG76" s="372"/>
    </row>
    <row r="77" spans="1:35" x14ac:dyDescent="0.3">
      <c r="V77" s="372"/>
      <c r="W77" s="372"/>
      <c r="X77" s="372"/>
      <c r="Y77" s="372"/>
      <c r="Z77" s="372"/>
      <c r="AA77" s="372"/>
      <c r="AB77" s="372"/>
      <c r="AC77" s="372"/>
      <c r="AD77" s="372"/>
      <c r="AE77" s="372"/>
      <c r="AF77" s="372"/>
      <c r="AG77" s="372"/>
      <c r="AH77" s="372"/>
      <c r="AI77" s="372"/>
    </row>
    <row r="78" spans="1:35" x14ac:dyDescent="0.3">
      <c r="G78" s="588">
        <f>D75*100/4</f>
        <v>10.438199698681899</v>
      </c>
      <c r="V78" s="372"/>
      <c r="W78" s="372"/>
      <c r="X78" s="372"/>
      <c r="Y78" s="372"/>
      <c r="Z78" s="372"/>
      <c r="AA78" s="372"/>
      <c r="AB78" s="372"/>
      <c r="AC78" s="372"/>
      <c r="AD78" s="372"/>
      <c r="AE78" s="372"/>
      <c r="AF78" s="372"/>
      <c r="AG78" s="372"/>
      <c r="AH78" s="372"/>
      <c r="AI78" s="372"/>
    </row>
    <row r="79" spans="1:35" x14ac:dyDescent="0.3">
      <c r="V79" s="372"/>
      <c r="W79" s="372"/>
      <c r="X79" s="372"/>
      <c r="Y79" s="372"/>
      <c r="Z79" s="372"/>
      <c r="AA79" s="372"/>
      <c r="AB79" s="372"/>
      <c r="AC79" s="372"/>
      <c r="AD79" s="372"/>
      <c r="AE79" s="372"/>
      <c r="AF79" s="372"/>
      <c r="AG79" s="372"/>
      <c r="AH79" s="372"/>
      <c r="AI79" s="372"/>
    </row>
    <row r="80" spans="1:35" hidden="1" x14ac:dyDescent="0.3">
      <c r="A80" s="372" t="s">
        <v>260</v>
      </c>
      <c r="V80" s="372"/>
      <c r="W80" s="372"/>
      <c r="X80" s="372"/>
      <c r="Y80" s="372"/>
      <c r="Z80" s="372"/>
      <c r="AA80" s="372"/>
      <c r="AB80" s="372"/>
      <c r="AC80" s="372"/>
      <c r="AD80" s="372"/>
      <c r="AE80" s="372"/>
      <c r="AF80" s="372"/>
      <c r="AG80" s="372"/>
      <c r="AH80" s="372"/>
      <c r="AI80" s="372"/>
    </row>
    <row r="81" spans="1:35" ht="14.5" hidden="1" thickBot="1" x14ac:dyDescent="0.35">
      <c r="V81" s="372"/>
      <c r="W81" s="372"/>
      <c r="X81" s="372"/>
      <c r="Y81" s="372"/>
      <c r="Z81" s="372"/>
      <c r="AA81" s="848">
        <f>D72</f>
        <v>0</v>
      </c>
      <c r="AB81" s="849"/>
      <c r="AC81" s="848" t="e">
        <f>#REF!</f>
        <v>#REF!</v>
      </c>
      <c r="AD81" s="849"/>
      <c r="AE81" s="839"/>
      <c r="AF81" s="839"/>
      <c r="AG81" s="839"/>
      <c r="AH81" s="839"/>
      <c r="AI81" s="372"/>
    </row>
    <row r="82" spans="1:35" ht="33" hidden="1" customHeight="1" x14ac:dyDescent="0.3">
      <c r="V82" s="372"/>
      <c r="W82" s="372"/>
      <c r="X82" s="372"/>
      <c r="Y82" s="372"/>
      <c r="Z82" s="414" t="s">
        <v>261</v>
      </c>
      <c r="AA82" s="415">
        <f>U28</f>
        <v>110854768.53731349</v>
      </c>
      <c r="AB82" s="416" t="str">
        <f>E73</f>
        <v>mln eurot</v>
      </c>
      <c r="AC82" s="415">
        <f>U30</f>
        <v>123178106.54567268</v>
      </c>
      <c r="AD82" s="416" t="str">
        <f>AB82</f>
        <v>mln eurot</v>
      </c>
      <c r="AE82" s="417"/>
      <c r="AF82" s="372"/>
      <c r="AG82" s="418"/>
      <c r="AH82" s="372"/>
      <c r="AI82" s="372"/>
    </row>
    <row r="83" spans="1:35" ht="33" hidden="1" customHeight="1" x14ac:dyDescent="0.3">
      <c r="V83" s="372"/>
      <c r="W83" s="372"/>
      <c r="X83" s="372"/>
      <c r="Y83" s="372"/>
      <c r="Z83" s="419" t="s">
        <v>262</v>
      </c>
      <c r="AA83" s="420">
        <f>U19</f>
        <v>389460000</v>
      </c>
      <c r="AB83" s="421" t="str">
        <f>E73</f>
        <v>mln eurot</v>
      </c>
      <c r="AC83" s="420">
        <f>U19</f>
        <v>389460000</v>
      </c>
      <c r="AD83" s="421" t="str">
        <f>AB83</f>
        <v>mln eurot</v>
      </c>
      <c r="AE83" s="417"/>
      <c r="AF83" s="372"/>
      <c r="AG83" s="418"/>
      <c r="AH83" s="372"/>
      <c r="AI83" s="372"/>
    </row>
    <row r="84" spans="1:35" ht="33" hidden="1" customHeight="1" x14ac:dyDescent="0.3">
      <c r="D84" s="372"/>
      <c r="V84" s="372"/>
      <c r="W84" s="372"/>
      <c r="X84" s="372"/>
      <c r="Y84" s="372"/>
      <c r="Z84" s="422" t="s">
        <v>263</v>
      </c>
      <c r="AA84" s="423">
        <v>12697303.870000001</v>
      </c>
      <c r="AB84" s="424" t="str">
        <f>AB83</f>
        <v>mln eurot</v>
      </c>
      <c r="AC84" s="423">
        <v>10442103.870000001</v>
      </c>
      <c r="AD84" s="421" t="str">
        <f>AD83</f>
        <v>mln eurot</v>
      </c>
      <c r="AE84" s="417"/>
      <c r="AF84" s="372"/>
      <c r="AG84" s="418"/>
      <c r="AH84" s="372"/>
      <c r="AI84" s="372"/>
    </row>
    <row r="85" spans="1:35" ht="33" hidden="1" customHeight="1" x14ac:dyDescent="0.3">
      <c r="D85" s="372"/>
      <c r="V85" s="372"/>
      <c r="W85" s="372"/>
      <c r="X85" s="372"/>
      <c r="Y85" s="372"/>
      <c r="Z85" s="422" t="s">
        <v>264</v>
      </c>
      <c r="AA85" s="425">
        <f>U21</f>
        <v>721.74</v>
      </c>
      <c r="AB85" s="424" t="str">
        <f>AB86</f>
        <v>чел.</v>
      </c>
      <c r="AC85" s="425">
        <f>U37</f>
        <v>721.74</v>
      </c>
      <c r="AD85" s="424" t="str">
        <f>AD86</f>
        <v>чел.</v>
      </c>
      <c r="AE85" s="426"/>
      <c r="AF85" s="372"/>
      <c r="AG85" s="418"/>
      <c r="AH85" s="372"/>
      <c r="AI85" s="372"/>
    </row>
    <row r="86" spans="1:35" ht="33" hidden="1" customHeight="1" thickBot="1" x14ac:dyDescent="0.35">
      <c r="D86" s="372"/>
      <c r="V86" s="372"/>
      <c r="W86" s="372"/>
      <c r="X86" s="372"/>
      <c r="Y86" s="372"/>
      <c r="Z86" s="427" t="s">
        <v>265</v>
      </c>
      <c r="AA86" s="428"/>
      <c r="AB86" s="429" t="s">
        <v>266</v>
      </c>
      <c r="AC86" s="428">
        <f>U38</f>
        <v>0</v>
      </c>
      <c r="AD86" s="429" t="str">
        <f>AB86</f>
        <v>чел.</v>
      </c>
      <c r="AE86" s="430"/>
      <c r="AF86" s="372"/>
      <c r="AG86" s="418"/>
      <c r="AH86" s="372"/>
      <c r="AI86" s="372"/>
    </row>
    <row r="87" spans="1:35" ht="33" hidden="1" customHeight="1" x14ac:dyDescent="0.3">
      <c r="D87" s="372"/>
      <c r="V87" s="372"/>
      <c r="W87" s="372"/>
      <c r="X87" s="372"/>
      <c r="Y87" s="372"/>
      <c r="Z87" s="372"/>
      <c r="AA87" s="372"/>
      <c r="AB87" s="372"/>
      <c r="AC87" s="372"/>
      <c r="AD87" s="372"/>
      <c r="AE87" s="430"/>
      <c r="AF87" s="372"/>
      <c r="AG87" s="418"/>
      <c r="AH87" s="372"/>
      <c r="AI87" s="372"/>
    </row>
    <row r="88" spans="1:35" hidden="1" x14ac:dyDescent="0.3">
      <c r="V88" s="372"/>
      <c r="W88" s="372"/>
      <c r="X88" s="372"/>
      <c r="Y88" s="372"/>
      <c r="Z88" s="372"/>
      <c r="AA88" s="372"/>
      <c r="AB88" s="372"/>
      <c r="AC88" s="372"/>
      <c r="AD88" s="372"/>
      <c r="AE88" s="372"/>
      <c r="AF88" s="372"/>
      <c r="AG88" s="372"/>
      <c r="AH88" s="372"/>
      <c r="AI88" s="372"/>
    </row>
    <row r="89" spans="1:35" hidden="1" x14ac:dyDescent="0.3">
      <c r="V89" s="372"/>
      <c r="W89" s="372"/>
      <c r="X89" s="372"/>
      <c r="Y89" s="372"/>
      <c r="Z89" s="372"/>
      <c r="AA89" s="372"/>
      <c r="AB89" s="372"/>
      <c r="AC89" s="372"/>
      <c r="AD89" s="372"/>
      <c r="AE89" s="372"/>
      <c r="AF89" s="372"/>
      <c r="AG89" s="372"/>
      <c r="AH89" s="372"/>
      <c r="AI89" s="372"/>
    </row>
    <row r="90" spans="1:35" x14ac:dyDescent="0.3">
      <c r="V90" s="372"/>
      <c r="W90" s="372"/>
      <c r="X90" s="372"/>
      <c r="Y90" s="372"/>
      <c r="AE90" s="372"/>
      <c r="AF90" s="372"/>
      <c r="AG90" s="372"/>
      <c r="AH90" s="372"/>
      <c r="AI90" s="372"/>
    </row>
    <row r="91" spans="1:35" x14ac:dyDescent="0.3">
      <c r="A91" s="431"/>
      <c r="G91" s="395"/>
      <c r="H91" s="395"/>
      <c r="I91" s="395"/>
      <c r="J91" s="395"/>
      <c r="K91" s="395"/>
      <c r="L91" s="395"/>
      <c r="M91" s="395"/>
      <c r="N91" s="395"/>
      <c r="O91" s="395"/>
      <c r="P91" s="395"/>
      <c r="Q91" s="395"/>
      <c r="R91" s="395"/>
      <c r="S91" s="395"/>
      <c r="T91" s="395"/>
    </row>
    <row r="92" spans="1:35" s="372" customFormat="1" x14ac:dyDescent="0.3">
      <c r="A92" s="432"/>
      <c r="D92" s="373"/>
      <c r="H92" s="395"/>
      <c r="I92" s="395"/>
      <c r="J92" s="395"/>
      <c r="K92" s="395"/>
      <c r="L92" s="395"/>
      <c r="M92" s="395"/>
      <c r="N92" s="395"/>
      <c r="O92" s="395"/>
      <c r="P92" s="395"/>
      <c r="Q92" s="395"/>
      <c r="R92" s="395"/>
      <c r="S92" s="395"/>
      <c r="T92" s="395"/>
      <c r="V92" s="377"/>
      <c r="W92" s="377"/>
      <c r="X92" s="377"/>
      <c r="Y92" s="377"/>
      <c r="Z92" s="377"/>
      <c r="AA92" s="377"/>
      <c r="AB92" s="377"/>
      <c r="AC92" s="377"/>
      <c r="AD92" s="377"/>
      <c r="AE92" s="377"/>
      <c r="AF92" s="377"/>
      <c r="AG92" s="377"/>
      <c r="AH92" s="377"/>
      <c r="AI92" s="377"/>
    </row>
  </sheetData>
  <mergeCells count="13">
    <mergeCell ref="AE81:AH81"/>
    <mergeCell ref="D71:E71"/>
    <mergeCell ref="B73:C73"/>
    <mergeCell ref="B74:C74"/>
    <mergeCell ref="B75:C75"/>
    <mergeCell ref="B76:C76"/>
    <mergeCell ref="AA81:AB81"/>
    <mergeCell ref="AC81:AD81"/>
    <mergeCell ref="W2:Z2"/>
    <mergeCell ref="B3:C3"/>
    <mergeCell ref="B71:C72"/>
    <mergeCell ref="D72:E72"/>
    <mergeCell ref="F72:G72"/>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3"/>
  <sheetViews>
    <sheetView workbookViewId="0">
      <selection activeCell="F23" sqref="F23"/>
    </sheetView>
  </sheetViews>
  <sheetFormatPr defaultColWidth="9.1796875" defaultRowHeight="14" x14ac:dyDescent="0.3"/>
  <cols>
    <col min="1" max="1" width="47.1796875" style="560" customWidth="1"/>
    <col min="2" max="16384" width="9.1796875" style="560"/>
  </cols>
  <sheetData>
    <row r="1" spans="1:12" ht="17.5" x14ac:dyDescent="0.35">
      <c r="A1" s="559" t="s">
        <v>302</v>
      </c>
    </row>
    <row r="3" spans="1:12" x14ac:dyDescent="0.3">
      <c r="A3" s="561" t="s">
        <v>303</v>
      </c>
    </row>
    <row r="5" spans="1:12" x14ac:dyDescent="0.3">
      <c r="A5" s="562" t="s">
        <v>304</v>
      </c>
      <c r="B5" s="563">
        <f>'Sots.majanduslik moju'!G3</f>
        <v>2026</v>
      </c>
      <c r="C5" s="563">
        <f>'Sots.majanduslik moju'!H3</f>
        <v>2027</v>
      </c>
      <c r="D5" s="563">
        <f>'Sots.majanduslik moju'!I3</f>
        <v>2028</v>
      </c>
      <c r="E5" s="563">
        <f>'Sots.majanduslik moju'!J3</f>
        <v>2029</v>
      </c>
      <c r="F5" s="563">
        <f>'Sots.majanduslik moju'!K3</f>
        <v>2030</v>
      </c>
      <c r="G5" s="563">
        <f>'Sots.majanduslik moju'!L3</f>
        <v>2031</v>
      </c>
      <c r="H5" s="563">
        <f>'Sots.majanduslik moju'!M3</f>
        <v>2032</v>
      </c>
      <c r="I5" s="563">
        <f>'Sots.majanduslik moju'!N3</f>
        <v>2033</v>
      </c>
      <c r="J5" s="563">
        <f>'Sots.majanduslik moju'!O3</f>
        <v>2034</v>
      </c>
      <c r="K5" s="563">
        <f>'Sots.majanduslik moju'!P3</f>
        <v>2035</v>
      </c>
    </row>
    <row r="6" spans="1:12" ht="15.5" x14ac:dyDescent="0.3">
      <c r="A6" s="564" t="s">
        <v>543</v>
      </c>
      <c r="B6" s="563"/>
      <c r="C6" s="563"/>
      <c r="D6" s="563"/>
      <c r="E6" s="563"/>
      <c r="F6" s="563"/>
      <c r="G6" s="563"/>
      <c r="H6" s="563"/>
      <c r="I6" s="563"/>
      <c r="J6" s="563"/>
      <c r="K6" s="563"/>
    </row>
    <row r="7" spans="1:12" ht="15.5" x14ac:dyDescent="0.3">
      <c r="A7" s="565" t="s">
        <v>305</v>
      </c>
      <c r="B7" s="566">
        <v>10</v>
      </c>
      <c r="C7" s="566">
        <v>14</v>
      </c>
      <c r="D7" s="566">
        <v>14</v>
      </c>
      <c r="E7" s="566">
        <v>16</v>
      </c>
      <c r="F7" s="566">
        <v>16</v>
      </c>
      <c r="G7" s="566">
        <v>25</v>
      </c>
      <c r="H7" s="566">
        <v>25</v>
      </c>
      <c r="I7" s="566">
        <v>25</v>
      </c>
      <c r="J7" s="566">
        <v>25</v>
      </c>
      <c r="K7" s="566">
        <v>25</v>
      </c>
      <c r="L7" s="560">
        <f>SUM(B7:K7)</f>
        <v>195</v>
      </c>
    </row>
    <row r="8" spans="1:12" ht="15.5" hidden="1" x14ac:dyDescent="0.3">
      <c r="A8" s="567"/>
      <c r="B8" s="563"/>
      <c r="C8" s="563"/>
      <c r="D8" s="563"/>
      <c r="E8" s="563"/>
      <c r="F8" s="563"/>
      <c r="G8" s="563"/>
      <c r="H8" s="563"/>
      <c r="I8" s="563"/>
      <c r="J8" s="563"/>
      <c r="K8" s="563"/>
    </row>
    <row r="9" spans="1:12" ht="15.5" hidden="1" x14ac:dyDescent="0.3">
      <c r="A9" s="565"/>
      <c r="B9" s="566"/>
      <c r="C9" s="566"/>
      <c r="D9" s="566"/>
      <c r="E9" s="566"/>
      <c r="F9" s="566"/>
      <c r="G9" s="566"/>
      <c r="H9" s="566"/>
      <c r="I9" s="566"/>
      <c r="J9" s="566"/>
      <c r="K9" s="566"/>
    </row>
    <row r="10" spans="1:12" ht="15.5" x14ac:dyDescent="0.3">
      <c r="A10" s="568"/>
    </row>
    <row r="11" spans="1:12" ht="30" x14ac:dyDescent="0.3">
      <c r="A11" s="569" t="s">
        <v>306</v>
      </c>
      <c r="B11" s="570" t="s">
        <v>282</v>
      </c>
    </row>
    <row r="12" spans="1:12" ht="15.5" x14ac:dyDescent="0.3">
      <c r="A12" s="571" t="str">
        <f>A6</f>
        <v>Inkubant-ettevõtted</v>
      </c>
      <c r="B12" s="583">
        <v>0.6</v>
      </c>
    </row>
    <row r="13" spans="1:12" ht="15.5" hidden="1" x14ac:dyDescent="0.3">
      <c r="A13" s="571"/>
      <c r="B13" s="583"/>
    </row>
    <row r="14" spans="1:12" ht="15.5" x14ac:dyDescent="0.3">
      <c r="A14" s="568"/>
    </row>
    <row r="15" spans="1:12" x14ac:dyDescent="0.3">
      <c r="B15" s="850" t="s">
        <v>307</v>
      </c>
      <c r="C15" s="850"/>
      <c r="D15" s="850"/>
      <c r="E15" s="850"/>
      <c r="F15" s="850"/>
    </row>
    <row r="16" spans="1:12" x14ac:dyDescent="0.3">
      <c r="A16" s="572" t="s">
        <v>308</v>
      </c>
      <c r="B16" s="573" t="s">
        <v>309</v>
      </c>
      <c r="C16" s="573" t="s">
        <v>310</v>
      </c>
      <c r="D16" s="573" t="s">
        <v>311</v>
      </c>
      <c r="E16" s="573" t="s">
        <v>312</v>
      </c>
      <c r="F16" s="573" t="s">
        <v>313</v>
      </c>
      <c r="J16" s="560">
        <f>9.2-6.6</f>
        <v>2.5999999999999996</v>
      </c>
    </row>
    <row r="17" spans="1:10" x14ac:dyDescent="0.3">
      <c r="A17" s="574" t="s">
        <v>314</v>
      </c>
      <c r="B17" s="575"/>
      <c r="C17" s="575"/>
      <c r="D17" s="575"/>
      <c r="E17" s="575"/>
      <c r="F17" s="575"/>
    </row>
    <row r="18" spans="1:10" x14ac:dyDescent="0.3">
      <c r="A18" s="576" t="str">
        <f>A12</f>
        <v>Inkubant-ettevõtted</v>
      </c>
      <c r="B18" s="566">
        <v>2.2999999999999998</v>
      </c>
      <c r="C18" s="566">
        <v>3.68</v>
      </c>
      <c r="D18" s="566">
        <v>3.68</v>
      </c>
      <c r="E18" s="566">
        <v>4.5999999999999996</v>
      </c>
      <c r="F18" s="566">
        <v>6.9</v>
      </c>
      <c r="J18" s="560">
        <f>6.8/4</f>
        <v>1.7</v>
      </c>
    </row>
    <row r="19" spans="1:10" hidden="1" x14ac:dyDescent="0.3">
      <c r="A19" s="576"/>
      <c r="B19" s="566"/>
      <c r="C19" s="566"/>
      <c r="D19" s="566"/>
      <c r="E19" s="566"/>
      <c r="F19" s="566"/>
    </row>
    <row r="20" spans="1:10" x14ac:dyDescent="0.3">
      <c r="A20" s="577" t="s">
        <v>315</v>
      </c>
      <c r="B20" s="560">
        <v>1383</v>
      </c>
    </row>
    <row r="21" spans="1:10" x14ac:dyDescent="0.3">
      <c r="A21" s="576" t="str">
        <f>A18</f>
        <v>Inkubant-ettevõtted</v>
      </c>
      <c r="B21" s="566">
        <f>B20</f>
        <v>1383</v>
      </c>
      <c r="C21" s="578">
        <f>SUM(B21*1.8)</f>
        <v>2489.4</v>
      </c>
      <c r="D21" s="578">
        <f>SUM(C21*1.2)</f>
        <v>2987.28</v>
      </c>
      <c r="E21" s="578">
        <f>SUM(D21*1.2)</f>
        <v>3584.7360000000003</v>
      </c>
      <c r="F21" s="578">
        <f>SUM(E21*1)</f>
        <v>3584.7360000000003</v>
      </c>
    </row>
    <row r="22" spans="1:10" hidden="1" x14ac:dyDescent="0.3">
      <c r="A22" s="576"/>
      <c r="B22" s="578"/>
      <c r="C22" s="578"/>
      <c r="D22" s="578"/>
      <c r="E22" s="578"/>
      <c r="F22" s="578"/>
    </row>
    <row r="23" spans="1:10" x14ac:dyDescent="0.3">
      <c r="A23" s="560" t="s">
        <v>325</v>
      </c>
    </row>
    <row r="24" spans="1:10" x14ac:dyDescent="0.3">
      <c r="A24" s="576" t="str">
        <f>A21</f>
        <v>Inkubant-ettevõtted</v>
      </c>
      <c r="B24" s="579">
        <v>200000</v>
      </c>
      <c r="C24" s="579">
        <v>400000</v>
      </c>
      <c r="D24" s="579">
        <v>400000</v>
      </c>
      <c r="E24" s="579">
        <v>600000</v>
      </c>
      <c r="F24" s="579">
        <v>1000000</v>
      </c>
      <c r="J24" s="624"/>
    </row>
    <row r="25" spans="1:10" hidden="1" x14ac:dyDescent="0.3">
      <c r="A25" s="576"/>
      <c r="B25" s="579"/>
      <c r="C25" s="579"/>
      <c r="D25" s="579"/>
      <c r="E25" s="579"/>
      <c r="F25" s="579"/>
    </row>
    <row r="26" spans="1:10" x14ac:dyDescent="0.3">
      <c r="A26" s="560" t="s">
        <v>316</v>
      </c>
    </row>
    <row r="27" spans="1:10" x14ac:dyDescent="0.3">
      <c r="A27" s="576" t="str">
        <f>A24</f>
        <v>Inkubant-ettevõtted</v>
      </c>
      <c r="B27" s="584">
        <v>0.5</v>
      </c>
      <c r="C27" s="584">
        <v>0.9</v>
      </c>
      <c r="D27" s="584">
        <v>0.9</v>
      </c>
      <c r="E27" s="584">
        <v>0.9</v>
      </c>
      <c r="F27" s="584">
        <v>0.9</v>
      </c>
    </row>
    <row r="28" spans="1:10" hidden="1" x14ac:dyDescent="0.3">
      <c r="A28" s="576"/>
      <c r="B28" s="566"/>
      <c r="C28" s="584"/>
      <c r="D28" s="584"/>
      <c r="E28" s="584"/>
      <c r="F28" s="584"/>
    </row>
    <row r="29" spans="1:10" x14ac:dyDescent="0.3">
      <c r="A29" s="560" t="s">
        <v>317</v>
      </c>
    </row>
    <row r="30" spans="1:10" x14ac:dyDescent="0.3">
      <c r="A30" s="576" t="str">
        <f>A27</f>
        <v>Inkubant-ettevõtted</v>
      </c>
      <c r="B30" s="584">
        <f>39956/109431</f>
        <v>0.36512505597134265</v>
      </c>
      <c r="C30" s="584">
        <f>B30</f>
        <v>0.36512505597134265</v>
      </c>
      <c r="D30" s="584">
        <f t="shared" ref="D30:F30" si="0">C30</f>
        <v>0.36512505597134265</v>
      </c>
      <c r="E30" s="584">
        <f t="shared" si="0"/>
        <v>0.36512505597134265</v>
      </c>
      <c r="F30" s="584">
        <f t="shared" si="0"/>
        <v>0.36512505597134265</v>
      </c>
    </row>
    <row r="31" spans="1:10" hidden="1" x14ac:dyDescent="0.3">
      <c r="A31" s="576"/>
      <c r="B31" s="584"/>
      <c r="C31" s="584"/>
      <c r="D31" s="584"/>
      <c r="E31" s="584"/>
      <c r="F31" s="584"/>
    </row>
    <row r="32" spans="1:10" x14ac:dyDescent="0.3">
      <c r="A32" s="580"/>
    </row>
    <row r="33" spans="1:1" ht="15" customHeight="1" x14ac:dyDescent="0.3">
      <c r="A33" s="581"/>
    </row>
  </sheetData>
  <mergeCells count="1">
    <mergeCell ref="B15:F15"/>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
  <sheetViews>
    <sheetView workbookViewId="0">
      <selection activeCell="A4" sqref="A4"/>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168</v>
      </c>
    </row>
    <row r="2" spans="1:16" s="250" customFormat="1" ht="21" customHeight="1" x14ac:dyDescent="0.35">
      <c r="A2" s="290"/>
      <c r="B2" s="291">
        <f>Esileht!B10</f>
        <v>2025</v>
      </c>
      <c r="C2" s="291">
        <f>B2+1</f>
        <v>2026</v>
      </c>
      <c r="D2" s="291">
        <f t="shared" ref="D2:K2" si="0">C2+1</f>
        <v>2027</v>
      </c>
      <c r="E2" s="291">
        <f t="shared" si="0"/>
        <v>2028</v>
      </c>
      <c r="F2" s="291">
        <f t="shared" si="0"/>
        <v>2029</v>
      </c>
      <c r="G2" s="291">
        <f t="shared" si="0"/>
        <v>2030</v>
      </c>
      <c r="H2" s="291">
        <f t="shared" si="0"/>
        <v>2031</v>
      </c>
      <c r="I2" s="291">
        <f t="shared" si="0"/>
        <v>2032</v>
      </c>
      <c r="J2" s="291">
        <f t="shared" si="0"/>
        <v>2033</v>
      </c>
      <c r="K2" s="291">
        <f t="shared" si="0"/>
        <v>2034</v>
      </c>
      <c r="L2" s="291">
        <f t="shared" ref="L2" si="1">K2+1</f>
        <v>2035</v>
      </c>
      <c r="M2" s="291">
        <f t="shared" ref="M2" si="2">L2+1</f>
        <v>2036</v>
      </c>
      <c r="N2" s="291">
        <f t="shared" ref="N2" si="3">M2+1</f>
        <v>2037</v>
      </c>
      <c r="O2" s="291">
        <f t="shared" ref="O2" si="4">N2+1</f>
        <v>2038</v>
      </c>
      <c r="P2" s="291">
        <f t="shared" ref="P2" si="5">O2+1</f>
        <v>2039</v>
      </c>
    </row>
    <row r="3" spans="1:16" ht="27.75" customHeight="1" x14ac:dyDescent="0.35">
      <c r="A3" s="283" t="s">
        <v>169</v>
      </c>
      <c r="B3" s="292">
        <v>0.33</v>
      </c>
      <c r="C3" s="292">
        <f>B3</f>
        <v>0.33</v>
      </c>
      <c r="D3" s="292">
        <f t="shared" ref="D3:P3" si="6">C3</f>
        <v>0.33</v>
      </c>
      <c r="E3" s="292">
        <f t="shared" si="6"/>
        <v>0.33</v>
      </c>
      <c r="F3" s="292">
        <f t="shared" si="6"/>
        <v>0.33</v>
      </c>
      <c r="G3" s="292">
        <f t="shared" si="6"/>
        <v>0.33</v>
      </c>
      <c r="H3" s="292">
        <f t="shared" si="6"/>
        <v>0.33</v>
      </c>
      <c r="I3" s="292">
        <f t="shared" si="6"/>
        <v>0.33</v>
      </c>
      <c r="J3" s="292">
        <f t="shared" si="6"/>
        <v>0.33</v>
      </c>
      <c r="K3" s="292">
        <f t="shared" si="6"/>
        <v>0.33</v>
      </c>
      <c r="L3" s="292">
        <f t="shared" si="6"/>
        <v>0.33</v>
      </c>
      <c r="M3" s="292">
        <f t="shared" si="6"/>
        <v>0.33</v>
      </c>
      <c r="N3" s="292">
        <f t="shared" si="6"/>
        <v>0.33</v>
      </c>
      <c r="O3" s="292">
        <f t="shared" si="6"/>
        <v>0.33</v>
      </c>
      <c r="P3" s="292">
        <f t="shared" si="6"/>
        <v>0.33</v>
      </c>
    </row>
    <row r="4" spans="1:16" ht="50.25" customHeight="1" x14ac:dyDescent="0.35">
      <c r="A4" s="283" t="s">
        <v>170</v>
      </c>
      <c r="B4" s="292">
        <v>8.0000000000000002E-3</v>
      </c>
      <c r="C4" s="292">
        <f>B4</f>
        <v>8.0000000000000002E-3</v>
      </c>
      <c r="D4" s="292">
        <f t="shared" ref="D4:P4" si="7">C4</f>
        <v>8.0000000000000002E-3</v>
      </c>
      <c r="E4" s="292">
        <f t="shared" si="7"/>
        <v>8.0000000000000002E-3</v>
      </c>
      <c r="F4" s="292">
        <f t="shared" si="7"/>
        <v>8.0000000000000002E-3</v>
      </c>
      <c r="G4" s="292">
        <f t="shared" si="7"/>
        <v>8.0000000000000002E-3</v>
      </c>
      <c r="H4" s="292">
        <f t="shared" si="7"/>
        <v>8.0000000000000002E-3</v>
      </c>
      <c r="I4" s="292">
        <f t="shared" si="7"/>
        <v>8.0000000000000002E-3</v>
      </c>
      <c r="J4" s="292">
        <f t="shared" si="7"/>
        <v>8.0000000000000002E-3</v>
      </c>
      <c r="K4" s="292">
        <f t="shared" si="7"/>
        <v>8.0000000000000002E-3</v>
      </c>
      <c r="L4" s="292">
        <f t="shared" si="7"/>
        <v>8.0000000000000002E-3</v>
      </c>
      <c r="M4" s="292">
        <f t="shared" si="7"/>
        <v>8.0000000000000002E-3</v>
      </c>
      <c r="N4" s="292">
        <f t="shared" si="7"/>
        <v>8.0000000000000002E-3</v>
      </c>
      <c r="O4" s="292">
        <f t="shared" si="7"/>
        <v>8.0000000000000002E-3</v>
      </c>
      <c r="P4" s="292">
        <f t="shared" si="7"/>
        <v>8.0000000000000002E-3</v>
      </c>
    </row>
    <row r="5" spans="1:16" s="250" customFormat="1" ht="24.75" customHeight="1" x14ac:dyDescent="0.35">
      <c r="A5" s="290" t="s">
        <v>171</v>
      </c>
      <c r="B5" s="293">
        <f>SUM(B3:B4)</f>
        <v>0.33800000000000002</v>
      </c>
      <c r="C5" s="293">
        <f>SUM(C3:C4)</f>
        <v>0.33800000000000002</v>
      </c>
      <c r="D5" s="293">
        <f t="shared" ref="D5:P5" si="8">SUM(D3:D4)</f>
        <v>0.33800000000000002</v>
      </c>
      <c r="E5" s="293">
        <f t="shared" si="8"/>
        <v>0.33800000000000002</v>
      </c>
      <c r="F5" s="293">
        <f t="shared" si="8"/>
        <v>0.33800000000000002</v>
      </c>
      <c r="G5" s="293">
        <f t="shared" si="8"/>
        <v>0.33800000000000002</v>
      </c>
      <c r="H5" s="293">
        <f t="shared" si="8"/>
        <v>0.33800000000000002</v>
      </c>
      <c r="I5" s="293">
        <f t="shared" si="8"/>
        <v>0.33800000000000002</v>
      </c>
      <c r="J5" s="293">
        <f t="shared" si="8"/>
        <v>0.33800000000000002</v>
      </c>
      <c r="K5" s="293">
        <f t="shared" si="8"/>
        <v>0.33800000000000002</v>
      </c>
      <c r="L5" s="293">
        <f t="shared" si="8"/>
        <v>0.33800000000000002</v>
      </c>
      <c r="M5" s="293">
        <f t="shared" si="8"/>
        <v>0.33800000000000002</v>
      </c>
      <c r="N5" s="293">
        <f t="shared" si="8"/>
        <v>0.33800000000000002</v>
      </c>
      <c r="O5" s="293">
        <f t="shared" si="8"/>
        <v>0.33800000000000002</v>
      </c>
      <c r="P5" s="293">
        <f t="shared" si="8"/>
        <v>0.33800000000000002</v>
      </c>
    </row>
    <row r="8" spans="1:16" ht="21.75" customHeight="1" x14ac:dyDescent="0.35">
      <c r="A8" s="318" t="s">
        <v>219</v>
      </c>
    </row>
    <row r="9" spans="1:16" ht="21.75" customHeight="1" x14ac:dyDescent="0.35">
      <c r="A9" s="319" t="s">
        <v>241</v>
      </c>
    </row>
    <row r="10" spans="1:16" ht="21.75" customHeight="1" x14ac:dyDescent="0.35">
      <c r="A10" s="319"/>
    </row>
    <row r="11" spans="1:16" ht="21.75" customHeight="1" x14ac:dyDescent="0.35">
      <c r="A11" s="319"/>
    </row>
    <row r="12" spans="1:16" ht="21.75" customHeight="1" x14ac:dyDescent="0.35">
      <c r="A12" s="319"/>
    </row>
    <row r="13" spans="1:16" ht="32.25" customHeight="1" x14ac:dyDescent="0.35">
      <c r="A13" s="318" t="s">
        <v>220</v>
      </c>
    </row>
    <row r="14" spans="1:16" ht="21.75" customHeight="1" x14ac:dyDescent="0.35">
      <c r="A14" s="319" t="s">
        <v>242</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200</v>
      </c>
    </row>
    <row r="2" spans="1:2" ht="5.25" customHeight="1" x14ac:dyDescent="0.35"/>
    <row r="3" spans="1:2" ht="36" customHeight="1" x14ac:dyDescent="0.35">
      <c r="A3" s="259" t="s">
        <v>201</v>
      </c>
      <c r="B3" s="317" t="s">
        <v>202</v>
      </c>
    </row>
    <row r="4" spans="1:2" ht="17.25" customHeight="1" x14ac:dyDescent="0.35">
      <c r="A4" s="103" t="s">
        <v>203</v>
      </c>
      <c r="B4" s="72" t="s">
        <v>204</v>
      </c>
    </row>
    <row r="5" spans="1:2" ht="17.25" customHeight="1" x14ac:dyDescent="0.35">
      <c r="A5" s="103" t="s">
        <v>205</v>
      </c>
      <c r="B5" s="72">
        <v>30</v>
      </c>
    </row>
    <row r="6" spans="1:2" ht="17.25" customHeight="1" x14ac:dyDescent="0.35">
      <c r="A6" s="103" t="s">
        <v>206</v>
      </c>
      <c r="B6" s="72">
        <v>30</v>
      </c>
    </row>
    <row r="7" spans="1:2" ht="17.25" customHeight="1" x14ac:dyDescent="0.35">
      <c r="A7" s="103" t="s">
        <v>207</v>
      </c>
      <c r="B7" s="72" t="s">
        <v>208</v>
      </c>
    </row>
    <row r="8" spans="1:2" ht="17.25" customHeight="1" x14ac:dyDescent="0.35">
      <c r="A8" s="103" t="s">
        <v>209</v>
      </c>
      <c r="B8" s="72">
        <v>25</v>
      </c>
    </row>
    <row r="9" spans="1:2" ht="17.25" customHeight="1" x14ac:dyDescent="0.35">
      <c r="A9" s="103" t="s">
        <v>210</v>
      </c>
      <c r="B9" s="72" t="s">
        <v>208</v>
      </c>
    </row>
    <row r="10" spans="1:2" ht="17.25" customHeight="1" x14ac:dyDescent="0.35">
      <c r="A10" s="103" t="s">
        <v>211</v>
      </c>
      <c r="B10" s="72" t="s">
        <v>208</v>
      </c>
    </row>
    <row r="11" spans="1:2" ht="17.25" customHeight="1" x14ac:dyDescent="0.35">
      <c r="A11" s="103" t="s">
        <v>212</v>
      </c>
      <c r="B11" s="72" t="s">
        <v>213</v>
      </c>
    </row>
    <row r="12" spans="1:2" ht="17.25" customHeight="1" x14ac:dyDescent="0.35">
      <c r="A12" s="103" t="s">
        <v>214</v>
      </c>
      <c r="B12" s="72" t="s">
        <v>204</v>
      </c>
    </row>
    <row r="13" spans="1:2" ht="17.25" customHeight="1" x14ac:dyDescent="0.35">
      <c r="A13" s="103" t="s">
        <v>215</v>
      </c>
      <c r="B13" s="72" t="s">
        <v>216</v>
      </c>
    </row>
    <row r="14" spans="1:2" ht="17.25" customHeight="1" x14ac:dyDescent="0.35">
      <c r="A14" s="103" t="s">
        <v>217</v>
      </c>
      <c r="B14" s="72" t="s">
        <v>216</v>
      </c>
    </row>
    <row r="16" spans="1:2" ht="38.25" customHeight="1" x14ac:dyDescent="0.35">
      <c r="A16" s="851" t="s">
        <v>218</v>
      </c>
      <c r="B16" s="851"/>
    </row>
  </sheetData>
  <mergeCells count="1">
    <mergeCell ref="A16:B1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D6"/>
  <sheetViews>
    <sheetView workbookViewId="0">
      <selection activeCell="D6" sqref="D6"/>
    </sheetView>
  </sheetViews>
  <sheetFormatPr defaultColWidth="8.81640625" defaultRowHeight="14.5" x14ac:dyDescent="0.35"/>
  <cols>
    <col min="1" max="1" width="14.6328125" customWidth="1"/>
    <col min="2" max="2" width="16.36328125" customWidth="1"/>
    <col min="3" max="3" width="11.81640625" customWidth="1"/>
    <col min="4" max="4" width="12.81640625" customWidth="1"/>
  </cols>
  <sheetData>
    <row r="2" spans="1:4" x14ac:dyDescent="0.35">
      <c r="A2" s="701" t="s">
        <v>498</v>
      </c>
      <c r="C2" s="702"/>
      <c r="D2" s="702"/>
    </row>
    <row r="3" spans="1:4" x14ac:dyDescent="0.35">
      <c r="A3" s="852"/>
      <c r="B3" s="853"/>
      <c r="C3" s="856" t="s">
        <v>499</v>
      </c>
      <c r="D3" s="856"/>
    </row>
    <row r="4" spans="1:4" x14ac:dyDescent="0.35">
      <c r="A4" s="854"/>
      <c r="B4" s="855"/>
      <c r="C4" s="703">
        <v>8</v>
      </c>
      <c r="D4" s="704">
        <v>13</v>
      </c>
    </row>
    <row r="5" spans="1:4" x14ac:dyDescent="0.35">
      <c r="A5" s="857" t="s">
        <v>501</v>
      </c>
      <c r="B5" s="857"/>
      <c r="C5" s="706">
        <f>'1. Projekti elluviimise kulud'!$F$9*C6</f>
        <v>0</v>
      </c>
      <c r="D5" s="706">
        <f>'1. Projekti elluviimise kulud'!$F$9*D6</f>
        <v>90338.700000000012</v>
      </c>
    </row>
    <row r="6" spans="1:4" x14ac:dyDescent="0.35">
      <c r="A6" s="858" t="s">
        <v>500</v>
      </c>
      <c r="B6" s="858"/>
      <c r="C6" s="705"/>
      <c r="D6" s="705">
        <v>0.1</v>
      </c>
    </row>
  </sheetData>
  <mergeCells count="4">
    <mergeCell ref="A3:B4"/>
    <mergeCell ref="C3:D3"/>
    <mergeCell ref="A5:B5"/>
    <mergeCell ref="A6:B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5"/>
  <sheetViews>
    <sheetView topLeftCell="A17" workbookViewId="0">
      <selection activeCell="I18" sqref="I18"/>
    </sheetView>
  </sheetViews>
  <sheetFormatPr defaultColWidth="9.1796875" defaultRowHeight="14.5" x14ac:dyDescent="0.35"/>
  <cols>
    <col min="1" max="1" width="42" style="362" customWidth="1"/>
    <col min="2" max="2" width="16.6328125" style="362" customWidth="1"/>
    <col min="3" max="3" width="17.36328125" style="362" customWidth="1"/>
    <col min="4" max="4" width="15.453125" style="362" customWidth="1"/>
    <col min="5" max="8" width="0" style="362" hidden="1" customWidth="1"/>
    <col min="9" max="9" width="9.1796875" style="362"/>
    <col min="10" max="10" width="26" style="362" customWidth="1"/>
    <col min="11" max="11" width="13.453125" style="362" customWidth="1"/>
    <col min="12" max="12" width="9.1796875" style="362"/>
    <col min="13" max="13" width="11.1796875" style="362" customWidth="1"/>
    <col min="14" max="16384" width="9.1796875" style="362"/>
  </cols>
  <sheetData>
    <row r="1" spans="1:10" x14ac:dyDescent="0.35">
      <c r="A1" s="361" t="s">
        <v>278</v>
      </c>
    </row>
    <row r="3" spans="1:10" ht="30" customHeight="1" x14ac:dyDescent="0.35">
      <c r="A3" s="625" t="s">
        <v>446</v>
      </c>
      <c r="B3" s="625" t="s">
        <v>267</v>
      </c>
      <c r="C3" s="625" t="s">
        <v>453</v>
      </c>
      <c r="D3" s="625" t="s">
        <v>454</v>
      </c>
      <c r="E3"/>
      <c r="F3"/>
      <c r="G3"/>
      <c r="H3"/>
    </row>
    <row r="4" spans="1:10" x14ac:dyDescent="0.35">
      <c r="A4" s="597"/>
      <c r="B4" s="597"/>
      <c r="C4" s="597"/>
      <c r="D4" s="597"/>
      <c r="E4"/>
      <c r="F4"/>
      <c r="G4"/>
      <c r="H4"/>
    </row>
    <row r="5" spans="1:10" x14ac:dyDescent="0.35">
      <c r="A5" s="626" t="s">
        <v>447</v>
      </c>
      <c r="B5" s="627">
        <f>C5*4</f>
        <v>1170</v>
      </c>
      <c r="C5" s="628">
        <f>SUM(C6:C8)</f>
        <v>292.5</v>
      </c>
      <c r="D5" s="628">
        <f>SUM(D6:D8)</f>
        <v>292.5</v>
      </c>
      <c r="E5"/>
      <c r="F5"/>
      <c r="G5"/>
      <c r="H5"/>
    </row>
    <row r="6" spans="1:10" x14ac:dyDescent="0.35">
      <c r="A6" s="597" t="s">
        <v>413</v>
      </c>
      <c r="B6" s="597">
        <f>C6*4</f>
        <v>530</v>
      </c>
      <c r="C6" s="597">
        <f>51.9+80.6</f>
        <v>132.5</v>
      </c>
      <c r="D6" s="597">
        <f>51.9+80.6</f>
        <v>132.5</v>
      </c>
      <c r="E6"/>
      <c r="F6" t="s">
        <v>268</v>
      </c>
      <c r="G6"/>
      <c r="H6" t="s">
        <v>269</v>
      </c>
      <c r="J6" s="693"/>
    </row>
    <row r="7" spans="1:10" x14ac:dyDescent="0.35">
      <c r="A7" s="597" t="s">
        <v>414</v>
      </c>
      <c r="B7" s="597">
        <f t="shared" ref="B7:B8" si="0">C7*4</f>
        <v>290.8</v>
      </c>
      <c r="C7" s="597">
        <f>26.2+23+23.5</f>
        <v>72.7</v>
      </c>
      <c r="D7" s="597">
        <f>26.2+23+23.5</f>
        <v>72.7</v>
      </c>
      <c r="E7"/>
      <c r="F7" t="s">
        <v>270</v>
      </c>
      <c r="G7"/>
      <c r="H7" t="s">
        <v>271</v>
      </c>
      <c r="J7" s="693"/>
    </row>
    <row r="8" spans="1:10" x14ac:dyDescent="0.35">
      <c r="A8" s="597" t="s">
        <v>415</v>
      </c>
      <c r="B8" s="597">
        <f t="shared" si="0"/>
        <v>349.2</v>
      </c>
      <c r="C8" s="597">
        <v>87.3</v>
      </c>
      <c r="D8" s="597">
        <v>87.3</v>
      </c>
      <c r="E8"/>
      <c r="F8" t="s">
        <v>270</v>
      </c>
      <c r="G8"/>
      <c r="H8" t="s">
        <v>271</v>
      </c>
    </row>
    <row r="9" spans="1:10" x14ac:dyDescent="0.35">
      <c r="A9" s="597"/>
      <c r="B9" s="597"/>
      <c r="C9" s="597"/>
      <c r="D9" s="597"/>
      <c r="E9"/>
      <c r="F9"/>
      <c r="G9"/>
      <c r="H9"/>
    </row>
    <row r="10" spans="1:10" x14ac:dyDescent="0.35">
      <c r="A10" s="626" t="s">
        <v>448</v>
      </c>
      <c r="B10" s="626">
        <f>C10*4</f>
        <v>1200.8</v>
      </c>
      <c r="C10" s="628">
        <f>C11+C12</f>
        <v>300.2</v>
      </c>
      <c r="D10" s="628">
        <f>D11+D12</f>
        <v>300.2</v>
      </c>
      <c r="E10"/>
      <c r="F10"/>
      <c r="G10"/>
      <c r="H10"/>
    </row>
    <row r="11" spans="1:10" x14ac:dyDescent="0.35">
      <c r="A11" s="597" t="s">
        <v>428</v>
      </c>
      <c r="B11" s="597">
        <f>C11*4</f>
        <v>1093.5999999999999</v>
      </c>
      <c r="C11" s="597">
        <f>D11</f>
        <v>273.39999999999998</v>
      </c>
      <c r="D11" s="597">
        <v>273.39999999999998</v>
      </c>
      <c r="E11"/>
      <c r="F11" t="s">
        <v>268</v>
      </c>
      <c r="G11"/>
      <c r="H11" t="s">
        <v>269</v>
      </c>
    </row>
    <row r="12" spans="1:10" x14ac:dyDescent="0.35">
      <c r="A12" s="597" t="s">
        <v>272</v>
      </c>
      <c r="B12" s="597">
        <f>C12*4</f>
        <v>107.2</v>
      </c>
      <c r="C12" s="597">
        <v>26.8</v>
      </c>
      <c r="D12" s="597">
        <v>26.8</v>
      </c>
      <c r="E12"/>
      <c r="F12" t="s">
        <v>268</v>
      </c>
      <c r="G12"/>
      <c r="H12" t="s">
        <v>271</v>
      </c>
    </row>
    <row r="13" spans="1:10" x14ac:dyDescent="0.35">
      <c r="A13" s="597"/>
      <c r="B13" s="597"/>
      <c r="C13" s="597"/>
      <c r="D13" s="597"/>
      <c r="E13"/>
      <c r="F13"/>
      <c r="G13"/>
      <c r="H13"/>
    </row>
    <row r="14" spans="1:10" x14ac:dyDescent="0.35">
      <c r="A14" s="626" t="s">
        <v>542</v>
      </c>
      <c r="B14" s="626">
        <f>SUM(B15:B18)</f>
        <v>1216.8000000000002</v>
      </c>
      <c r="C14" s="626">
        <f>SUM(C15:C18)</f>
        <v>304.20000000000005</v>
      </c>
      <c r="D14" s="628">
        <v>304.2</v>
      </c>
      <c r="E14"/>
      <c r="F14"/>
      <c r="G14"/>
      <c r="H14"/>
    </row>
    <row r="15" spans="1:10" x14ac:dyDescent="0.35">
      <c r="A15" s="597" t="s">
        <v>528</v>
      </c>
      <c r="B15" s="597">
        <f>C15*4</f>
        <v>422.4</v>
      </c>
      <c r="C15" s="597">
        <v>105.6</v>
      </c>
      <c r="D15" s="597">
        <v>105.6</v>
      </c>
      <c r="E15"/>
      <c r="F15" t="s">
        <v>270</v>
      </c>
      <c r="G15"/>
      <c r="H15" t="s">
        <v>269</v>
      </c>
    </row>
    <row r="16" spans="1:10" x14ac:dyDescent="0.35">
      <c r="A16" s="597" t="s">
        <v>273</v>
      </c>
      <c r="B16" s="597">
        <f t="shared" ref="B16:B18" si="1">C16*4</f>
        <v>107.2</v>
      </c>
      <c r="C16" s="597">
        <v>26.8</v>
      </c>
      <c r="D16" s="597">
        <v>26.8</v>
      </c>
      <c r="E16"/>
      <c r="F16" t="s">
        <v>270</v>
      </c>
      <c r="G16"/>
      <c r="H16" t="s">
        <v>271</v>
      </c>
    </row>
    <row r="17" spans="1:11" x14ac:dyDescent="0.35">
      <c r="A17" s="597" t="s">
        <v>274</v>
      </c>
      <c r="B17" s="597">
        <f t="shared" si="1"/>
        <v>544.79999999999995</v>
      </c>
      <c r="C17" s="597">
        <v>136.19999999999999</v>
      </c>
      <c r="D17" s="597">
        <v>136.19999999999999</v>
      </c>
      <c r="E17"/>
      <c r="F17" t="s">
        <v>270</v>
      </c>
      <c r="G17"/>
      <c r="H17" t="s">
        <v>269</v>
      </c>
    </row>
    <row r="18" spans="1:11" x14ac:dyDescent="0.35">
      <c r="A18" s="597" t="s">
        <v>416</v>
      </c>
      <c r="B18" s="597">
        <f t="shared" si="1"/>
        <v>142.4</v>
      </c>
      <c r="C18" s="597">
        <v>35.6</v>
      </c>
      <c r="D18" s="597">
        <v>35.6</v>
      </c>
      <c r="E18"/>
      <c r="F18" t="s">
        <v>270</v>
      </c>
      <c r="G18"/>
      <c r="H18" t="s">
        <v>269</v>
      </c>
    </row>
    <row r="19" spans="1:11" x14ac:dyDescent="0.35">
      <c r="A19" s="626" t="s">
        <v>449</v>
      </c>
      <c r="B19" s="628">
        <f>SUM(B20:B22)</f>
        <v>1231.2</v>
      </c>
      <c r="C19" s="628">
        <f>SUM(C20:C22)</f>
        <v>307.8</v>
      </c>
      <c r="D19" s="628">
        <f>SUM(D20:D22)</f>
        <v>307.8</v>
      </c>
      <c r="E19"/>
      <c r="F19"/>
      <c r="G19"/>
      <c r="H19"/>
    </row>
    <row r="20" spans="1:11" x14ac:dyDescent="0.35">
      <c r="A20" s="597" t="s">
        <v>428</v>
      </c>
      <c r="B20" s="597">
        <f>C20*4</f>
        <v>1062.4000000000001</v>
      </c>
      <c r="C20" s="597">
        <v>265.60000000000002</v>
      </c>
      <c r="D20" s="597">
        <v>265.60000000000002</v>
      </c>
      <c r="E20"/>
      <c r="F20" t="s">
        <v>268</v>
      </c>
      <c r="G20"/>
      <c r="H20" t="s">
        <v>269</v>
      </c>
    </row>
    <row r="21" spans="1:11" x14ac:dyDescent="0.35">
      <c r="A21" s="597" t="s">
        <v>536</v>
      </c>
      <c r="B21" s="597">
        <f t="shared" ref="B21:B22" si="2">C21*4</f>
        <v>63.2</v>
      </c>
      <c r="C21" s="597">
        <v>15.8</v>
      </c>
      <c r="D21" s="597">
        <v>15.8</v>
      </c>
      <c r="E21"/>
      <c r="F21" t="s">
        <v>268</v>
      </c>
      <c r="G21"/>
      <c r="H21" t="s">
        <v>269</v>
      </c>
    </row>
    <row r="22" spans="1:11" x14ac:dyDescent="0.35">
      <c r="A22" s="597" t="s">
        <v>275</v>
      </c>
      <c r="B22" s="597">
        <f t="shared" si="2"/>
        <v>105.6</v>
      </c>
      <c r="C22" s="597">
        <v>26.4</v>
      </c>
      <c r="D22" s="597">
        <v>26.4</v>
      </c>
      <c r="E22"/>
      <c r="F22" t="s">
        <v>268</v>
      </c>
      <c r="G22"/>
      <c r="H22" t="s">
        <v>271</v>
      </c>
    </row>
    <row r="23" spans="1:11" x14ac:dyDescent="0.35">
      <c r="A23" s="597"/>
      <c r="B23" s="597"/>
      <c r="C23" s="597"/>
      <c r="D23" s="597"/>
      <c r="E23"/>
      <c r="F23"/>
      <c r="G23"/>
      <c r="H23"/>
    </row>
    <row r="24" spans="1:11" x14ac:dyDescent="0.35">
      <c r="A24" s="626" t="s">
        <v>450</v>
      </c>
      <c r="B24" s="628">
        <f>SUM(B25:B28)</f>
        <v>1206.8</v>
      </c>
      <c r="C24" s="628">
        <f>SUM(C25:C28)</f>
        <v>301.7</v>
      </c>
      <c r="D24" s="628">
        <f>SUM(D25:D28)</f>
        <v>301.7</v>
      </c>
      <c r="E24"/>
      <c r="F24"/>
      <c r="G24"/>
      <c r="H24"/>
    </row>
    <row r="25" spans="1:11" x14ac:dyDescent="0.35">
      <c r="A25" s="597" t="s">
        <v>503</v>
      </c>
      <c r="B25" s="597">
        <f>C25*4</f>
        <v>447.6</v>
      </c>
      <c r="C25" s="597">
        <v>111.9</v>
      </c>
      <c r="D25" s="597">
        <v>111.9</v>
      </c>
      <c r="E25"/>
      <c r="F25" t="s">
        <v>268</v>
      </c>
      <c r="G25" t="s">
        <v>270</v>
      </c>
      <c r="H25" t="s">
        <v>269</v>
      </c>
      <c r="K25" s="363"/>
    </row>
    <row r="26" spans="1:11" x14ac:dyDescent="0.35">
      <c r="A26" s="597" t="s">
        <v>417</v>
      </c>
      <c r="B26" s="597">
        <f t="shared" ref="B26:B28" si="3">C26*4</f>
        <v>548</v>
      </c>
      <c r="C26" s="597">
        <v>137</v>
      </c>
      <c r="D26" s="597">
        <v>137</v>
      </c>
      <c r="E26"/>
      <c r="F26" t="s">
        <v>270</v>
      </c>
      <c r="G26"/>
      <c r="H26" t="s">
        <v>269</v>
      </c>
    </row>
    <row r="27" spans="1:11" x14ac:dyDescent="0.35">
      <c r="A27" s="597" t="s">
        <v>428</v>
      </c>
      <c r="B27" s="597">
        <f t="shared" si="3"/>
        <v>105.6</v>
      </c>
      <c r="C27" s="597">
        <v>26.4</v>
      </c>
      <c r="D27" s="597">
        <v>26.4</v>
      </c>
      <c r="E27"/>
      <c r="F27" t="s">
        <v>268</v>
      </c>
      <c r="G27" t="s">
        <v>270</v>
      </c>
      <c r="H27" t="s">
        <v>269</v>
      </c>
    </row>
    <row r="28" spans="1:11" x14ac:dyDescent="0.35">
      <c r="A28" s="597" t="s">
        <v>275</v>
      </c>
      <c r="B28" s="597">
        <f t="shared" si="3"/>
        <v>105.6</v>
      </c>
      <c r="C28" s="597">
        <v>26.4</v>
      </c>
      <c r="D28" s="597">
        <v>26.4</v>
      </c>
      <c r="E28"/>
      <c r="F28" t="s">
        <v>270</v>
      </c>
      <c r="G28"/>
      <c r="H28" t="s">
        <v>271</v>
      </c>
    </row>
    <row r="29" spans="1:11" x14ac:dyDescent="0.35">
      <c r="A29" s="626" t="s">
        <v>451</v>
      </c>
      <c r="B29" s="626">
        <f>SUM(B30:B32)</f>
        <v>459.6</v>
      </c>
      <c r="C29" s="626">
        <f>SUM(C30:C32)</f>
        <v>114.9</v>
      </c>
      <c r="D29" s="628">
        <f>SUM(D30:D32)</f>
        <v>114.9</v>
      </c>
      <c r="E29"/>
      <c r="F29"/>
      <c r="G29"/>
      <c r="H29"/>
    </row>
    <row r="30" spans="1:11" x14ac:dyDescent="0.35">
      <c r="A30" s="597" t="s">
        <v>452</v>
      </c>
      <c r="B30" s="597">
        <f>C30*4</f>
        <v>187.6</v>
      </c>
      <c r="C30" s="597">
        <v>46.9</v>
      </c>
      <c r="D30" s="597">
        <v>46.9</v>
      </c>
      <c r="E30"/>
      <c r="F30" t="s">
        <v>270</v>
      </c>
      <c r="G30"/>
      <c r="H30" t="s">
        <v>269</v>
      </c>
    </row>
    <row r="31" spans="1:11" x14ac:dyDescent="0.35">
      <c r="A31" s="597" t="s">
        <v>411</v>
      </c>
      <c r="B31" s="597">
        <f t="shared" ref="B31:B32" si="4">C31*4</f>
        <v>200</v>
      </c>
      <c r="C31" s="597">
        <v>50</v>
      </c>
      <c r="D31" s="597">
        <v>50</v>
      </c>
      <c r="E31"/>
      <c r="F31" t="s">
        <v>270</v>
      </c>
      <c r="G31"/>
      <c r="H31" t="s">
        <v>271</v>
      </c>
    </row>
    <row r="32" spans="1:11" x14ac:dyDescent="0.35">
      <c r="A32" s="597" t="s">
        <v>275</v>
      </c>
      <c r="B32" s="597">
        <f t="shared" si="4"/>
        <v>72</v>
      </c>
      <c r="C32" s="597">
        <v>18</v>
      </c>
      <c r="D32" s="597">
        <v>18</v>
      </c>
      <c r="E32"/>
      <c r="F32" t="s">
        <v>270</v>
      </c>
      <c r="G32"/>
      <c r="H32" t="s">
        <v>271</v>
      </c>
    </row>
    <row r="33" spans="1:13" hidden="1" x14ac:dyDescent="0.35">
      <c r="A33" s="597"/>
      <c r="B33" s="597"/>
      <c r="C33" s="597"/>
      <c r="D33" s="597"/>
      <c r="E33"/>
      <c r="F33"/>
      <c r="G33"/>
      <c r="H33"/>
    </row>
    <row r="34" spans="1:13" hidden="1" x14ac:dyDescent="0.35">
      <c r="A34" s="597"/>
      <c r="B34" s="597"/>
      <c r="C34" s="597"/>
      <c r="D34" s="597"/>
      <c r="E34"/>
      <c r="F34"/>
      <c r="G34"/>
      <c r="H34"/>
    </row>
    <row r="35" spans="1:13" x14ac:dyDescent="0.35">
      <c r="A35" s="600"/>
      <c r="B35" s="600"/>
      <c r="C35" s="600"/>
      <c r="D35" s="600"/>
      <c r="E35"/>
      <c r="F35"/>
      <c r="G35"/>
      <c r="H35"/>
    </row>
    <row r="36" spans="1:13" x14ac:dyDescent="0.35">
      <c r="A36" s="696" t="s">
        <v>412</v>
      </c>
      <c r="B36" s="697">
        <f>B5+B10+B14+B19+B24+B29</f>
        <v>6485.2000000000007</v>
      </c>
      <c r="C36" s="697">
        <f>C5+C10+C14+C19+C24+C29</f>
        <v>1621.3000000000002</v>
      </c>
      <c r="D36" s="697">
        <f>D5+D10+D14+D19+D24+D29</f>
        <v>1621.3000000000002</v>
      </c>
      <c r="E36"/>
      <c r="F36"/>
      <c r="G36"/>
      <c r="H36"/>
    </row>
    <row r="37" spans="1:13" x14ac:dyDescent="0.35">
      <c r="A37" s="629" t="s">
        <v>455</v>
      </c>
      <c r="B37" s="597">
        <f>SUM(B6,B7,B11,B15,B18,B20:B21,B25,B27,B30)</f>
        <v>4345.6000000000004</v>
      </c>
      <c r="C37" s="597">
        <f>SUM(C6,C7,C11,C15,C18,C20:C21,C25,C27,C30)</f>
        <v>1086.4000000000001</v>
      </c>
      <c r="D37" s="597">
        <f>SUM(D6,D7,D11,D15,D18,D20:D21,D25,D27,D30)</f>
        <v>1086.4000000000001</v>
      </c>
      <c r="E37" s="486">
        <f>C37/C36</f>
        <v>0.6700795657805465</v>
      </c>
      <c r="F37"/>
      <c r="G37"/>
      <c r="H37"/>
    </row>
    <row r="38" spans="1:13" x14ac:dyDescent="0.35">
      <c r="A38" s="629" t="s">
        <v>456</v>
      </c>
      <c r="B38" s="597">
        <f>SUM(B8,B12,B16,B17,B22,B28,B31:B32)</f>
        <v>1591.6</v>
      </c>
      <c r="C38" s="597">
        <f>SUM(C8,C12,C16,C17,C22,C28,C31:C32)</f>
        <v>397.9</v>
      </c>
      <c r="D38" s="597">
        <f>SUM(D8,D12,D16,D17,D22,D28,D31:D32)</f>
        <v>397.9</v>
      </c>
      <c r="E38" s="486">
        <f>C38/C36</f>
        <v>0.24542034170110402</v>
      </c>
      <c r="F38"/>
      <c r="G38"/>
      <c r="H38"/>
    </row>
    <row r="39" spans="1:13" x14ac:dyDescent="0.35">
      <c r="A39" s="630" t="s">
        <v>270</v>
      </c>
      <c r="B39" s="597">
        <f>B26</f>
        <v>548</v>
      </c>
      <c r="C39" s="597">
        <f>C26</f>
        <v>137</v>
      </c>
      <c r="D39" s="597">
        <f>D26</f>
        <v>137</v>
      </c>
      <c r="E39" s="486"/>
      <c r="F39"/>
      <c r="G39"/>
      <c r="H39"/>
    </row>
    <row r="40" spans="1:13" x14ac:dyDescent="0.35">
      <c r="A40" s="600"/>
      <c r="B40" s="600"/>
      <c r="C40" s="600"/>
      <c r="D40" s="600"/>
      <c r="E40"/>
      <c r="F40"/>
      <c r="G40"/>
      <c r="H40"/>
    </row>
    <row r="41" spans="1:13" x14ac:dyDescent="0.35">
      <c r="A41" s="600" t="s">
        <v>457</v>
      </c>
      <c r="B41" s="600"/>
      <c r="C41" s="600"/>
      <c r="D41" s="600"/>
      <c r="E41"/>
      <c r="F41"/>
      <c r="G41"/>
      <c r="H41"/>
    </row>
    <row r="42" spans="1:13" x14ac:dyDescent="0.35">
      <c r="A42" s="631" t="s">
        <v>270</v>
      </c>
      <c r="B42" s="597">
        <f>SUM(B15,B17:B18,B26,B30)</f>
        <v>1845.1999999999998</v>
      </c>
      <c r="C42" s="597">
        <f>SUM(C15,C17:C18,C26,C30)</f>
        <v>461.29999999999995</v>
      </c>
      <c r="D42" s="597">
        <f>SUM(D15,D17:D18,D26,D30)</f>
        <v>461.29999999999995</v>
      </c>
      <c r="E42" s="487">
        <f>C42/C37</f>
        <v>0.4246134020618556</v>
      </c>
      <c r="F42"/>
      <c r="G42"/>
      <c r="H42"/>
      <c r="M42" s="364"/>
    </row>
    <row r="43" spans="1:13" x14ac:dyDescent="0.35">
      <c r="A43" s="631" t="s">
        <v>418</v>
      </c>
      <c r="B43" s="597">
        <f>B37-B42</f>
        <v>2500.4000000000005</v>
      </c>
      <c r="C43" s="597">
        <f>C37-C42</f>
        <v>625.10000000000014</v>
      </c>
      <c r="D43" s="597">
        <f>D37-D42</f>
        <v>625.10000000000014</v>
      </c>
      <c r="E43" s="487">
        <f>C43/C37</f>
        <v>0.5753865979381444</v>
      </c>
      <c r="F43"/>
      <c r="G43"/>
      <c r="H43"/>
      <c r="M43" s="364"/>
    </row>
    <row r="44" spans="1:13" x14ac:dyDescent="0.35">
      <c r="A44"/>
      <c r="B44"/>
      <c r="C44"/>
      <c r="D44"/>
      <c r="E44"/>
      <c r="F44"/>
      <c r="G44"/>
      <c r="H44"/>
      <c r="M44" s="364"/>
    </row>
    <row r="45" spans="1:13" hidden="1" x14ac:dyDescent="0.35">
      <c r="A45"/>
      <c r="B45"/>
      <c r="C45"/>
      <c r="D45"/>
      <c r="E45"/>
      <c r="F45"/>
      <c r="G45"/>
      <c r="H45"/>
      <c r="M45" s="364"/>
    </row>
    <row r="46" spans="1:13" x14ac:dyDescent="0.35">
      <c r="A46" s="488"/>
      <c r="B46"/>
      <c r="C46"/>
      <c r="D46"/>
      <c r="E46"/>
      <c r="F46"/>
      <c r="G46"/>
      <c r="H46"/>
    </row>
    <row r="47" spans="1:13" x14ac:dyDescent="0.35">
      <c r="A47"/>
      <c r="B47"/>
      <c r="C47"/>
      <c r="D47"/>
      <c r="E47"/>
      <c r="F47"/>
      <c r="G47"/>
      <c r="H47"/>
      <c r="J47" s="365"/>
    </row>
    <row r="48" spans="1:13" x14ac:dyDescent="0.35">
      <c r="A48" s="495"/>
      <c r="B48" s="495"/>
      <c r="C48" s="495"/>
      <c r="D48" s="495"/>
      <c r="E48"/>
      <c r="F48"/>
      <c r="G48"/>
      <c r="H48"/>
      <c r="J48" s="365"/>
    </row>
    <row r="49" spans="1:14" x14ac:dyDescent="0.35">
      <c r="A49"/>
      <c r="B49"/>
      <c r="C49"/>
      <c r="D49"/>
      <c r="E49"/>
      <c r="F49"/>
      <c r="G49"/>
      <c r="H49"/>
    </row>
    <row r="50" spans="1:14" x14ac:dyDescent="0.35">
      <c r="A50" s="690"/>
      <c r="B50" s="690"/>
      <c r="C50" s="691"/>
      <c r="D50" s="691"/>
      <c r="E50"/>
      <c r="F50"/>
      <c r="G50"/>
      <c r="H50"/>
      <c r="L50" s="364"/>
    </row>
    <row r="51" spans="1:14" x14ac:dyDescent="0.35">
      <c r="A51"/>
      <c r="B51"/>
      <c r="C51"/>
      <c r="D51"/>
      <c r="E51"/>
      <c r="F51" t="s">
        <v>268</v>
      </c>
      <c r="G51" t="s">
        <v>270</v>
      </c>
      <c r="H51"/>
    </row>
    <row r="52" spans="1:14" x14ac:dyDescent="0.35">
      <c r="A52"/>
      <c r="B52"/>
      <c r="C52"/>
      <c r="D52"/>
      <c r="E52"/>
      <c r="F52" t="s">
        <v>268</v>
      </c>
      <c r="G52" t="s">
        <v>270</v>
      </c>
      <c r="H52"/>
    </row>
    <row r="53" spans="1:14" x14ac:dyDescent="0.35">
      <c r="A53"/>
      <c r="B53"/>
      <c r="C53"/>
      <c r="D53"/>
      <c r="E53"/>
      <c r="F53" t="s">
        <v>268</v>
      </c>
      <c r="G53" t="s">
        <v>270</v>
      </c>
      <c r="H53"/>
    </row>
    <row r="54" spans="1:14" x14ac:dyDescent="0.35">
      <c r="A54"/>
      <c r="B54"/>
      <c r="C54"/>
      <c r="D54"/>
      <c r="E54"/>
      <c r="F54" t="s">
        <v>268</v>
      </c>
      <c r="G54" t="s">
        <v>270</v>
      </c>
      <c r="H54"/>
      <c r="M54" s="364"/>
      <c r="N54" s="364"/>
    </row>
    <row r="55" spans="1:14" x14ac:dyDescent="0.35">
      <c r="A55"/>
      <c r="B55"/>
      <c r="C55"/>
      <c r="D55"/>
      <c r="E55"/>
      <c r="F55" t="s">
        <v>268</v>
      </c>
      <c r="G55" t="s">
        <v>270</v>
      </c>
      <c r="H55"/>
    </row>
    <row r="56" spans="1:14" x14ac:dyDescent="0.35">
      <c r="A56"/>
      <c r="B56"/>
      <c r="C56"/>
      <c r="D56"/>
      <c r="E56"/>
      <c r="F56" t="s">
        <v>268</v>
      </c>
      <c r="G56" t="s">
        <v>270</v>
      </c>
      <c r="H56"/>
    </row>
    <row r="57" spans="1:14" x14ac:dyDescent="0.35">
      <c r="A57"/>
      <c r="B57"/>
      <c r="C57"/>
      <c r="D57"/>
      <c r="E57"/>
      <c r="F57" t="s">
        <v>268</v>
      </c>
      <c r="G57" t="s">
        <v>270</v>
      </c>
      <c r="H57"/>
    </row>
    <row r="58" spans="1:14" x14ac:dyDescent="0.35">
      <c r="A58" s="690"/>
      <c r="B58" s="690"/>
      <c r="C58" s="691"/>
      <c r="D58" s="691"/>
      <c r="E58"/>
      <c r="F58"/>
      <c r="G58"/>
      <c r="H58"/>
    </row>
    <row r="59" spans="1:14" x14ac:dyDescent="0.35">
      <c r="A59"/>
      <c r="B59"/>
      <c r="C59"/>
      <c r="D59"/>
      <c r="E59"/>
      <c r="F59" t="s">
        <v>268</v>
      </c>
      <c r="G59" t="s">
        <v>270</v>
      </c>
      <c r="H59"/>
    </row>
    <row r="60" spans="1:14" x14ac:dyDescent="0.35">
      <c r="A60"/>
      <c r="B60"/>
      <c r="C60"/>
      <c r="D60"/>
      <c r="E60"/>
      <c r="F60" t="s">
        <v>268</v>
      </c>
      <c r="G60" t="s">
        <v>270</v>
      </c>
      <c r="H60"/>
    </row>
    <row r="61" spans="1:14" x14ac:dyDescent="0.35">
      <c r="A61"/>
      <c r="B61"/>
      <c r="C61"/>
      <c r="D61"/>
      <c r="E61"/>
      <c r="F61" t="s">
        <v>268</v>
      </c>
      <c r="G61" t="s">
        <v>270</v>
      </c>
      <c r="H61"/>
    </row>
    <row r="62" spans="1:14" x14ac:dyDescent="0.35">
      <c r="A62" s="692"/>
      <c r="B62"/>
      <c r="C62"/>
      <c r="D62"/>
      <c r="E62"/>
      <c r="F62" t="s">
        <v>268</v>
      </c>
      <c r="G62" t="s">
        <v>270</v>
      </c>
      <c r="H62"/>
    </row>
    <row r="63" spans="1:14" x14ac:dyDescent="0.35">
      <c r="A63" s="692"/>
      <c r="B63"/>
      <c r="C63"/>
      <c r="D63"/>
      <c r="E63"/>
      <c r="F63"/>
      <c r="G63"/>
      <c r="H63"/>
    </row>
    <row r="64" spans="1:14" x14ac:dyDescent="0.35">
      <c r="A64" s="692"/>
      <c r="B64" s="489"/>
      <c r="C64" s="489"/>
      <c r="D64" s="489"/>
      <c r="E64"/>
      <c r="F64" t="s">
        <v>276</v>
      </c>
      <c r="G64"/>
      <c r="H64">
        <f>SUM(C51,C53,C55:C57,C59:C62)</f>
        <v>0</v>
      </c>
    </row>
    <row r="65" spans="1:8" x14ac:dyDescent="0.35">
      <c r="A65"/>
      <c r="B65"/>
      <c r="C65"/>
      <c r="D65"/>
      <c r="E65"/>
      <c r="F65" t="s">
        <v>277</v>
      </c>
      <c r="G65"/>
      <c r="H65">
        <v>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topLeftCell="A4" zoomScale="98" zoomScaleNormal="98" workbookViewId="0">
      <selection activeCell="C9" sqref="C9"/>
    </sheetView>
  </sheetViews>
  <sheetFormatPr defaultColWidth="9.1796875" defaultRowHeight="14.5" x14ac:dyDescent="0.35"/>
  <cols>
    <col min="1" max="1" width="25.1796875" style="708" customWidth="1"/>
    <col min="2" max="2" width="15.1796875" style="708" customWidth="1"/>
    <col min="3" max="3" width="14.6328125" style="708" customWidth="1"/>
    <col min="4" max="4" width="13.1796875" style="708" customWidth="1"/>
    <col min="5" max="5" width="13.36328125" style="708" customWidth="1"/>
    <col min="6" max="6" width="8.81640625" style="708" customWidth="1"/>
    <col min="7" max="7" width="12.453125" style="708" customWidth="1"/>
    <col min="8" max="8" width="14.36328125" style="708" customWidth="1"/>
    <col min="9" max="9" width="13.36328125" style="708" customWidth="1"/>
    <col min="10" max="10" width="17" style="708" customWidth="1"/>
    <col min="11" max="16384" width="9.1796875" style="708"/>
  </cols>
  <sheetData>
    <row r="1" spans="1:8" x14ac:dyDescent="0.35">
      <c r="A1" s="632" t="s">
        <v>419</v>
      </c>
      <c r="B1" s="632"/>
      <c r="C1" s="600"/>
      <c r="D1" s="600"/>
      <c r="E1" s="633"/>
      <c r="F1" s="598"/>
      <c r="G1" s="598"/>
      <c r="H1" s="600"/>
    </row>
    <row r="2" spans="1:8" x14ac:dyDescent="0.35">
      <c r="A2" s="600"/>
      <c r="B2" s="600"/>
      <c r="C2" s="600"/>
      <c r="D2" s="600"/>
      <c r="E2" s="599"/>
      <c r="F2" s="600"/>
      <c r="G2" s="600"/>
      <c r="H2" s="600"/>
    </row>
    <row r="3" spans="1:8" x14ac:dyDescent="0.35">
      <c r="A3" s="632" t="s">
        <v>420</v>
      </c>
      <c r="B3" s="632"/>
      <c r="C3" s="600"/>
      <c r="D3" s="598"/>
      <c r="E3" s="599"/>
      <c r="F3" s="600"/>
      <c r="G3" s="600"/>
      <c r="H3" s="600"/>
    </row>
    <row r="4" spans="1:8" x14ac:dyDescent="0.35">
      <c r="A4" s="634" t="s">
        <v>544</v>
      </c>
      <c r="B4" s="597" t="s">
        <v>551</v>
      </c>
      <c r="C4" s="597">
        <v>62.78</v>
      </c>
      <c r="D4" s="598"/>
      <c r="E4" s="599"/>
      <c r="F4" s="600"/>
      <c r="G4" s="600"/>
      <c r="H4" s="600"/>
    </row>
    <row r="5" spans="1:8" x14ac:dyDescent="0.35">
      <c r="A5" s="634" t="s">
        <v>421</v>
      </c>
      <c r="B5" s="597" t="s">
        <v>426</v>
      </c>
      <c r="C5" s="485">
        <f>0.092+0.1</f>
        <v>0.192</v>
      </c>
      <c r="D5" s="601"/>
      <c r="E5" s="599"/>
      <c r="F5" s="600"/>
      <c r="G5" s="602"/>
      <c r="H5" s="600"/>
    </row>
    <row r="6" spans="1:8" x14ac:dyDescent="0.35">
      <c r="A6" s="634" t="s">
        <v>422</v>
      </c>
      <c r="B6" s="597" t="s">
        <v>425</v>
      </c>
      <c r="C6" s="597">
        <v>1.64</v>
      </c>
      <c r="D6" s="598"/>
      <c r="E6" s="599"/>
      <c r="F6" s="600"/>
      <c r="G6" s="600"/>
      <c r="H6" s="600"/>
    </row>
    <row r="7" spans="1:8" x14ac:dyDescent="0.35">
      <c r="A7" s="634" t="s">
        <v>423</v>
      </c>
      <c r="B7" s="597" t="s">
        <v>425</v>
      </c>
      <c r="C7" s="597">
        <v>5</v>
      </c>
      <c r="D7" s="598"/>
      <c r="E7" s="599"/>
      <c r="F7" s="600"/>
      <c r="G7" s="600"/>
      <c r="H7" s="600"/>
    </row>
    <row r="8" spans="1:8" x14ac:dyDescent="0.35">
      <c r="A8" s="634" t="s">
        <v>424</v>
      </c>
      <c r="B8" s="597" t="s">
        <v>425</v>
      </c>
      <c r="C8" s="597">
        <v>1.64</v>
      </c>
      <c r="D8" s="598"/>
      <c r="E8" s="599"/>
      <c r="F8" s="600"/>
      <c r="G8" s="600"/>
      <c r="H8" s="600"/>
    </row>
    <row r="9" spans="1:8" x14ac:dyDescent="0.35">
      <c r="A9" s="600"/>
      <c r="B9" s="600"/>
      <c r="C9" s="600"/>
      <c r="D9" s="600"/>
      <c r="E9" s="599"/>
      <c r="F9" s="600"/>
      <c r="G9" s="600"/>
      <c r="H9" s="600"/>
    </row>
    <row r="10" spans="1:8" x14ac:dyDescent="0.35">
      <c r="A10" s="632" t="s">
        <v>427</v>
      </c>
      <c r="B10" s="632"/>
      <c r="C10" s="600"/>
      <c r="D10" s="600"/>
      <c r="E10" s="599"/>
      <c r="F10" s="600"/>
      <c r="G10" s="600"/>
      <c r="H10" s="600"/>
    </row>
    <row r="11" spans="1:8" ht="29" x14ac:dyDescent="0.35">
      <c r="A11" s="634"/>
      <c r="B11" s="635" t="s">
        <v>2</v>
      </c>
      <c r="C11" s="603" t="s">
        <v>428</v>
      </c>
      <c r="D11" s="604" t="s">
        <v>429</v>
      </c>
      <c r="E11" s="599"/>
      <c r="F11" s="600"/>
      <c r="G11" s="600"/>
      <c r="H11" s="600"/>
    </row>
    <row r="12" spans="1:8" x14ac:dyDescent="0.35">
      <c r="A12" s="634" t="s">
        <v>544</v>
      </c>
      <c r="B12" s="636"/>
      <c r="C12" s="603"/>
      <c r="D12" s="604"/>
      <c r="E12" s="599"/>
      <c r="F12" s="600"/>
      <c r="G12" s="600"/>
      <c r="H12" s="600"/>
    </row>
    <row r="13" spans="1:8" hidden="1" x14ac:dyDescent="0.35">
      <c r="A13" s="631"/>
      <c r="B13" s="637"/>
      <c r="C13" s="605"/>
      <c r="D13" s="605"/>
      <c r="E13" s="599"/>
      <c r="F13" s="600"/>
      <c r="G13" s="606"/>
      <c r="H13" s="600"/>
    </row>
    <row r="14" spans="1:8" x14ac:dyDescent="0.35">
      <c r="A14" s="631" t="s">
        <v>278</v>
      </c>
      <c r="B14" s="637" t="s">
        <v>546</v>
      </c>
      <c r="C14" s="607">
        <v>11.6</v>
      </c>
      <c r="D14" s="607">
        <f>C14</f>
        <v>11.6</v>
      </c>
      <c r="E14" s="599"/>
      <c r="F14" s="600"/>
      <c r="G14" s="600"/>
      <c r="H14" s="600"/>
    </row>
    <row r="15" spans="1:8" x14ac:dyDescent="0.35">
      <c r="A15" s="634" t="s">
        <v>421</v>
      </c>
      <c r="B15" s="604"/>
      <c r="C15" s="597"/>
      <c r="D15" s="600"/>
      <c r="E15" s="599"/>
      <c r="F15" s="600"/>
      <c r="G15" s="600"/>
      <c r="H15" s="600"/>
    </row>
    <row r="16" spans="1:8" ht="14.25" hidden="1" customHeight="1" x14ac:dyDescent="0.35">
      <c r="A16" s="638"/>
      <c r="B16" s="637"/>
      <c r="C16" s="607"/>
      <c r="D16" s="600"/>
      <c r="E16" s="599"/>
      <c r="F16" s="600"/>
      <c r="G16" s="600"/>
      <c r="H16" s="600"/>
    </row>
    <row r="17" spans="1:8" ht="14.25" customHeight="1" x14ac:dyDescent="0.35">
      <c r="A17" s="638" t="s">
        <v>278</v>
      </c>
      <c r="B17" s="637" t="s">
        <v>431</v>
      </c>
      <c r="C17" s="607">
        <v>4</v>
      </c>
      <c r="D17" s="608"/>
      <c r="E17" s="599"/>
      <c r="F17" s="600"/>
      <c r="G17" s="600"/>
      <c r="H17" s="600"/>
    </row>
    <row r="18" spans="1:8" ht="14.25" customHeight="1" x14ac:dyDescent="0.35">
      <c r="A18" s="634" t="s">
        <v>397</v>
      </c>
      <c r="B18" s="604" t="s">
        <v>432</v>
      </c>
      <c r="C18" s="597">
        <f>50*21/1000</f>
        <v>1.05</v>
      </c>
      <c r="D18" s="600"/>
      <c r="E18" s="599"/>
      <c r="F18" s="600"/>
      <c r="G18" s="600"/>
      <c r="H18" s="600"/>
    </row>
    <row r="19" spans="1:8" ht="14.25" customHeight="1" x14ac:dyDescent="0.35">
      <c r="A19" s="631" t="s">
        <v>398</v>
      </c>
      <c r="B19" s="604" t="s">
        <v>432</v>
      </c>
      <c r="C19" s="597">
        <f>C18*0.6</f>
        <v>0.63</v>
      </c>
      <c r="D19" s="600"/>
      <c r="E19" s="599"/>
      <c r="F19" s="600"/>
      <c r="G19" s="600"/>
      <c r="H19" s="600"/>
    </row>
    <row r="20" spans="1:8" ht="14.25" customHeight="1" x14ac:dyDescent="0.35">
      <c r="A20" s="631" t="s">
        <v>399</v>
      </c>
      <c r="B20" s="604" t="s">
        <v>432</v>
      </c>
      <c r="C20" s="597">
        <f>C18*0.4</f>
        <v>0.42000000000000004</v>
      </c>
      <c r="D20" s="600"/>
      <c r="E20" s="599"/>
      <c r="F20" s="600"/>
      <c r="G20" s="609"/>
      <c r="H20" s="600"/>
    </row>
    <row r="21" spans="1:8" x14ac:dyDescent="0.35">
      <c r="A21" s="600"/>
      <c r="B21" s="600"/>
      <c r="C21" s="600"/>
      <c r="D21" s="600"/>
      <c r="E21" s="599"/>
      <c r="F21" s="600"/>
      <c r="G21" s="600"/>
      <c r="H21" s="600"/>
    </row>
    <row r="22" spans="1:8" ht="18.75" customHeight="1" x14ac:dyDescent="0.35">
      <c r="A22" s="632" t="s">
        <v>433</v>
      </c>
      <c r="B22" s="639"/>
      <c r="C22" s="610"/>
      <c r="D22" s="610"/>
      <c r="E22" s="611"/>
      <c r="F22" s="600"/>
      <c r="G22" s="600"/>
      <c r="H22" s="600"/>
    </row>
    <row r="23" spans="1:8" ht="18.75" customHeight="1" x14ac:dyDescent="0.35">
      <c r="A23" s="640" t="s">
        <v>280</v>
      </c>
      <c r="B23" s="859" t="s">
        <v>2</v>
      </c>
      <c r="C23" s="859" t="s">
        <v>341</v>
      </c>
      <c r="D23" s="859" t="s">
        <v>428</v>
      </c>
      <c r="E23" s="864" t="s">
        <v>434</v>
      </c>
      <c r="F23" s="859" t="s">
        <v>270</v>
      </c>
      <c r="G23" s="859" t="s">
        <v>274</v>
      </c>
      <c r="H23" s="600"/>
    </row>
    <row r="24" spans="1:8" x14ac:dyDescent="0.35">
      <c r="A24" s="641"/>
      <c r="B24" s="860"/>
      <c r="C24" s="860"/>
      <c r="D24" s="860"/>
      <c r="E24" s="865"/>
      <c r="F24" s="860"/>
      <c r="G24" s="860"/>
      <c r="H24" s="600"/>
    </row>
    <row r="25" spans="1:8" hidden="1" x14ac:dyDescent="0.35">
      <c r="A25" s="597" t="s">
        <v>430</v>
      </c>
      <c r="B25" s="642" t="s">
        <v>279</v>
      </c>
      <c r="C25" s="612"/>
      <c r="D25" s="612"/>
      <c r="E25" s="612"/>
      <c r="F25" s="597"/>
      <c r="G25" s="612"/>
      <c r="H25" s="600"/>
    </row>
    <row r="26" spans="1:8" hidden="1" x14ac:dyDescent="0.35">
      <c r="A26" s="597"/>
      <c r="B26" s="642"/>
      <c r="C26" s="613"/>
      <c r="D26" s="613"/>
      <c r="E26" s="613"/>
      <c r="F26" s="597"/>
      <c r="G26" s="613"/>
      <c r="H26" s="600"/>
    </row>
    <row r="27" spans="1:8" x14ac:dyDescent="0.35">
      <c r="A27" s="597" t="s">
        <v>278</v>
      </c>
      <c r="B27" s="642" t="s">
        <v>279</v>
      </c>
      <c r="C27" s="614">
        <f>Ruumid!C36</f>
        <v>1621.3000000000002</v>
      </c>
      <c r="D27" s="614">
        <f>Tulud25!N33</f>
        <v>757.17499999999995</v>
      </c>
      <c r="E27" s="614">
        <f>Tulud25!O33</f>
        <v>282.32499999999999</v>
      </c>
      <c r="F27" s="597">
        <f>Ruumid!C26</f>
        <v>137</v>
      </c>
      <c r="G27" s="612">
        <f>Ruumid!C38</f>
        <v>397.9</v>
      </c>
      <c r="H27" s="600"/>
    </row>
    <row r="28" spans="1:8" x14ac:dyDescent="0.35">
      <c r="A28" s="597"/>
      <c r="B28" s="642"/>
      <c r="C28" s="613">
        <f>C27/$C$27</f>
        <v>1</v>
      </c>
      <c r="D28" s="613">
        <f>D27/$C$27</f>
        <v>0.46701720841300182</v>
      </c>
      <c r="E28" s="613">
        <f>E27/$C$27</f>
        <v>0.17413495343243074</v>
      </c>
      <c r="F28" s="613">
        <f>F27/$C$27</f>
        <v>8.4500092518349459E-2</v>
      </c>
      <c r="G28" s="613">
        <f>G27/$C$27</f>
        <v>0.24542034170110402</v>
      </c>
      <c r="H28" s="600"/>
    </row>
    <row r="29" spans="1:8" x14ac:dyDescent="0.35">
      <c r="A29" s="600"/>
      <c r="B29" s="643"/>
      <c r="C29" s="644"/>
      <c r="D29" s="644"/>
      <c r="E29" s="644"/>
      <c r="F29" s="644"/>
      <c r="G29" s="644"/>
      <c r="H29" s="600"/>
    </row>
    <row r="30" spans="1:8" x14ac:dyDescent="0.35">
      <c r="A30" s="632" t="s">
        <v>458</v>
      </c>
      <c r="B30" s="643"/>
      <c r="C30" s="644"/>
      <c r="D30" s="644"/>
      <c r="E30" s="644"/>
      <c r="F30" s="644"/>
      <c r="G30" s="644"/>
      <c r="H30" s="600"/>
    </row>
    <row r="31" spans="1:8" ht="15" customHeight="1" x14ac:dyDescent="0.35">
      <c r="A31" s="640" t="s">
        <v>280</v>
      </c>
      <c r="B31" s="861" t="s">
        <v>2</v>
      </c>
      <c r="C31" s="863" t="s">
        <v>459</v>
      </c>
      <c r="D31" s="863"/>
      <c r="E31" s="863"/>
      <c r="F31" s="600"/>
      <c r="G31" s="600"/>
      <c r="H31" s="600"/>
    </row>
    <row r="32" spans="1:8" ht="43.5" x14ac:dyDescent="0.35">
      <c r="A32" s="641"/>
      <c r="B32" s="862"/>
      <c r="C32" s="645" t="s">
        <v>460</v>
      </c>
      <c r="D32" s="646" t="s">
        <v>461</v>
      </c>
      <c r="E32" s="645" t="s">
        <v>341</v>
      </c>
      <c r="F32" s="600"/>
      <c r="G32" s="600"/>
      <c r="H32" s="600"/>
    </row>
    <row r="33" spans="1:8" hidden="1" x14ac:dyDescent="0.35">
      <c r="A33" s="597" t="s">
        <v>430</v>
      </c>
      <c r="B33" s="647" t="s">
        <v>279</v>
      </c>
      <c r="C33" s="612"/>
      <c r="D33" s="612"/>
      <c r="E33" s="612"/>
      <c r="F33" s="600"/>
      <c r="G33" s="600"/>
      <c r="H33" s="600"/>
    </row>
    <row r="34" spans="1:8" hidden="1" x14ac:dyDescent="0.35">
      <c r="A34" s="597"/>
      <c r="B34" s="647"/>
      <c r="C34" s="613"/>
      <c r="D34" s="613"/>
      <c r="E34" s="613"/>
      <c r="F34" s="600"/>
      <c r="G34" s="600"/>
      <c r="H34" s="600"/>
    </row>
    <row r="35" spans="1:8" x14ac:dyDescent="0.35">
      <c r="A35" s="597" t="s">
        <v>278</v>
      </c>
      <c r="B35" s="647" t="s">
        <v>279</v>
      </c>
      <c r="C35" s="614">
        <f>Tulud25!N33</f>
        <v>757.17499999999995</v>
      </c>
      <c r="D35" s="614">
        <f>Tulud25!O33+Ruumid!C26</f>
        <v>419.32499999999999</v>
      </c>
      <c r="E35" s="612">
        <f>SUM(C35:D35)</f>
        <v>1176.5</v>
      </c>
      <c r="F35" s="600"/>
      <c r="G35" s="600"/>
      <c r="H35" s="600"/>
    </row>
    <row r="36" spans="1:8" x14ac:dyDescent="0.35">
      <c r="A36" s="597"/>
      <c r="B36" s="647"/>
      <c r="C36" s="613">
        <f>C35/E35</f>
        <v>0.64358266043348911</v>
      </c>
      <c r="D36" s="613">
        <f>D35/E35</f>
        <v>0.35641733956651084</v>
      </c>
      <c r="E36" s="613">
        <f>E35/E35</f>
        <v>1</v>
      </c>
      <c r="F36" s="600"/>
      <c r="G36" s="600"/>
      <c r="H36" s="600"/>
    </row>
    <row r="37" spans="1:8" x14ac:dyDescent="0.35">
      <c r="A37" s="597" t="s">
        <v>341</v>
      </c>
      <c r="B37" s="648" t="s">
        <v>279</v>
      </c>
      <c r="C37" s="649">
        <f>C33+C35</f>
        <v>757.17499999999995</v>
      </c>
      <c r="D37" s="649">
        <f>D33+D35</f>
        <v>419.32499999999999</v>
      </c>
      <c r="E37" s="649">
        <f>E33+E35</f>
        <v>1176.5</v>
      </c>
      <c r="F37" s="600"/>
      <c r="G37" s="600"/>
      <c r="H37" s="600"/>
    </row>
    <row r="38" spans="1:8" x14ac:dyDescent="0.35">
      <c r="A38" s="597"/>
      <c r="B38" s="647"/>
      <c r="C38" s="613">
        <f>C37/E37</f>
        <v>0.64358266043348911</v>
      </c>
      <c r="D38" s="613">
        <f>D37/E37</f>
        <v>0.35641733956651084</v>
      </c>
      <c r="E38" s="613">
        <f>E37/E37</f>
        <v>1</v>
      </c>
      <c r="F38" s="600"/>
      <c r="G38" s="600"/>
      <c r="H38" s="600"/>
    </row>
    <row r="39" spans="1:8" x14ac:dyDescent="0.35">
      <c r="A39" s="600"/>
      <c r="B39" s="600"/>
      <c r="C39" s="600"/>
      <c r="D39" s="600"/>
      <c r="E39" s="599"/>
      <c r="F39" s="600"/>
      <c r="G39" s="600"/>
      <c r="H39" s="600"/>
    </row>
    <row r="40" spans="1:8" x14ac:dyDescent="0.35">
      <c r="A40" s="632" t="s">
        <v>435</v>
      </c>
      <c r="B40" s="600"/>
      <c r="C40" s="600"/>
      <c r="D40" s="600"/>
      <c r="E40" s="599"/>
      <c r="F40" s="600"/>
      <c r="G40" s="600" t="s">
        <v>440</v>
      </c>
      <c r="H40" s="600"/>
    </row>
    <row r="41" spans="1:8" ht="43.5" x14ac:dyDescent="0.35">
      <c r="A41" s="650" t="s">
        <v>280</v>
      </c>
      <c r="B41" s="645" t="str">
        <f>B23</f>
        <v>Ühik</v>
      </c>
      <c r="C41" s="645" t="s">
        <v>437</v>
      </c>
      <c r="D41" s="646" t="s">
        <v>438</v>
      </c>
      <c r="E41" s="646" t="s">
        <v>439</v>
      </c>
      <c r="F41" s="600"/>
      <c r="G41" s="645" t="s">
        <v>441</v>
      </c>
      <c r="H41" s="645" t="s">
        <v>442</v>
      </c>
    </row>
    <row r="42" spans="1:8" hidden="1" x14ac:dyDescent="0.35">
      <c r="A42" s="597" t="str">
        <f>A33</f>
        <v>Stuudio</v>
      </c>
      <c r="B42" s="597" t="s">
        <v>436</v>
      </c>
      <c r="C42" s="651"/>
      <c r="D42" s="597"/>
      <c r="E42" s="612"/>
      <c r="F42" s="600"/>
      <c r="G42" s="651"/>
      <c r="H42" s="597"/>
    </row>
    <row r="43" spans="1:8" x14ac:dyDescent="0.35">
      <c r="A43" s="597" t="str">
        <f>A35</f>
        <v>Inkubaator</v>
      </c>
      <c r="B43" s="597" t="s">
        <v>436</v>
      </c>
      <c r="C43" s="651">
        <v>1</v>
      </c>
      <c r="D43" s="597">
        <f>C43*8</f>
        <v>8</v>
      </c>
      <c r="E43" s="612">
        <f>D43*250</f>
        <v>2000</v>
      </c>
      <c r="F43" s="600"/>
      <c r="G43" s="651">
        <v>3</v>
      </c>
      <c r="H43" s="597">
        <f>G43*250</f>
        <v>750</v>
      </c>
    </row>
    <row r="44" spans="1:8" x14ac:dyDescent="0.35">
      <c r="A44" s="600"/>
      <c r="B44" s="600"/>
      <c r="C44" s="600"/>
      <c r="D44" s="600"/>
      <c r="E44" s="599"/>
      <c r="F44" s="600"/>
      <c r="G44" s="600"/>
      <c r="H44" s="600"/>
    </row>
    <row r="45" spans="1:8" x14ac:dyDescent="0.35">
      <c r="A45" s="632" t="s">
        <v>443</v>
      </c>
      <c r="B45" s="600"/>
      <c r="C45" s="600"/>
      <c r="D45" s="600"/>
      <c r="E45" s="600"/>
      <c r="F45" s="600"/>
      <c r="G45" s="600"/>
      <c r="H45" s="600"/>
    </row>
    <row r="46" spans="1:8" ht="29" x14ac:dyDescent="0.35">
      <c r="A46" s="650" t="s">
        <v>280</v>
      </c>
      <c r="B46" s="645" t="s">
        <v>445</v>
      </c>
      <c r="C46" s="645" t="s">
        <v>444</v>
      </c>
      <c r="D46" s="600"/>
      <c r="E46" s="600"/>
      <c r="F46" s="600"/>
      <c r="G46" s="600"/>
      <c r="H46" s="600"/>
    </row>
    <row r="47" spans="1:8" hidden="1" x14ac:dyDescent="0.35">
      <c r="A47" s="597" t="str">
        <f>A42</f>
        <v>Stuudio</v>
      </c>
      <c r="B47" s="597"/>
      <c r="C47" s="614"/>
      <c r="D47" s="600"/>
      <c r="E47" s="600"/>
      <c r="F47" s="600"/>
      <c r="G47" s="600"/>
      <c r="H47" s="600"/>
    </row>
    <row r="48" spans="1:8" x14ac:dyDescent="0.35">
      <c r="A48" s="597" t="str">
        <f>A43</f>
        <v>Inkubaator</v>
      </c>
      <c r="B48" s="597">
        <v>10</v>
      </c>
      <c r="C48" s="614">
        <f>C35/B48</f>
        <v>75.717500000000001</v>
      </c>
      <c r="D48" s="600"/>
      <c r="E48" s="600"/>
      <c r="F48" s="600"/>
      <c r="G48" s="600"/>
      <c r="H48" s="600"/>
    </row>
    <row r="49" spans="1:8" x14ac:dyDescent="0.35">
      <c r="A49" s="597" t="s">
        <v>341</v>
      </c>
      <c r="B49" s="597"/>
      <c r="C49" s="614">
        <f>SUM(C47:C48)</f>
        <v>75.717500000000001</v>
      </c>
      <c r="D49" s="600"/>
      <c r="E49" s="600"/>
      <c r="F49" s="600"/>
      <c r="G49" s="600"/>
      <c r="H49" s="600"/>
    </row>
    <row r="50" spans="1:8" x14ac:dyDescent="0.35">
      <c r="E50" s="709"/>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77"/>
  <sheetViews>
    <sheetView topLeftCell="A18" zoomScale="108" zoomScaleNormal="108" workbookViewId="0">
      <selection activeCell="C22" sqref="C22"/>
    </sheetView>
  </sheetViews>
  <sheetFormatPr defaultColWidth="9.1796875" defaultRowHeight="14.5" outlineLevelRow="1" outlineLevelCol="1" x14ac:dyDescent="0.35"/>
  <cols>
    <col min="1" max="1" width="32.81640625" style="708" customWidth="1"/>
    <col min="2" max="2" width="15.1796875" style="708" customWidth="1" outlineLevel="1"/>
    <col min="3" max="3" width="9.36328125" style="708" customWidth="1" outlineLevel="1"/>
    <col min="4" max="5" width="14.1796875" style="708" customWidth="1"/>
    <col min="6" max="6" width="14.81640625" style="708" hidden="1" customWidth="1" outlineLevel="1"/>
    <col min="7" max="7" width="17.453125" style="708" hidden="1" customWidth="1" outlineLevel="1"/>
    <col min="8" max="8" width="16.1796875" style="708" hidden="1" customWidth="1" outlineLevel="1"/>
    <col min="9" max="9" width="11.81640625" style="708" hidden="1" customWidth="1" outlineLevel="1"/>
    <col min="10" max="10" width="21.453125" style="708" hidden="1" customWidth="1" outlineLevel="1"/>
    <col min="11" max="11" width="17" style="708" hidden="1" customWidth="1" outlineLevel="1"/>
    <col min="12" max="12" width="9.1796875" style="708" collapsed="1"/>
    <col min="13" max="16384" width="9.1796875" style="708"/>
  </cols>
  <sheetData>
    <row r="1" spans="1:18" x14ac:dyDescent="0.35">
      <c r="A1" s="668" t="s">
        <v>9</v>
      </c>
      <c r="B1" s="600"/>
      <c r="C1" s="600"/>
      <c r="D1" s="652"/>
      <c r="E1" s="652"/>
      <c r="F1" s="494"/>
      <c r="G1" s="489">
        <f>'[1]5. Abikõlblik kulu'!D13</f>
        <v>0</v>
      </c>
      <c r="H1"/>
      <c r="I1"/>
      <c r="J1"/>
      <c r="K1"/>
      <c r="L1"/>
      <c r="M1"/>
      <c r="N1"/>
      <c r="O1"/>
      <c r="P1"/>
      <c r="Q1"/>
      <c r="R1"/>
    </row>
    <row r="2" spans="1:18" ht="43.5" x14ac:dyDescent="0.35">
      <c r="A2" s="597"/>
      <c r="B2" s="669"/>
      <c r="C2" s="603"/>
      <c r="D2" s="645" t="s">
        <v>475</v>
      </c>
      <c r="E2" s="645" t="s">
        <v>476</v>
      </c>
      <c r="F2" s="484" t="s">
        <v>284</v>
      </c>
      <c r="G2" s="484" t="s">
        <v>285</v>
      </c>
      <c r="H2"/>
      <c r="I2"/>
      <c r="J2"/>
      <c r="K2"/>
      <c r="L2"/>
      <c r="M2"/>
      <c r="N2"/>
      <c r="O2"/>
      <c r="P2"/>
      <c r="Q2"/>
      <c r="R2"/>
    </row>
    <row r="3" spans="1:18" x14ac:dyDescent="0.35">
      <c r="A3" s="670" t="s">
        <v>348</v>
      </c>
      <c r="B3" s="637"/>
      <c r="C3" s="671"/>
      <c r="D3" s="671"/>
      <c r="E3" s="671"/>
      <c r="F3" s="485"/>
      <c r="G3" s="485"/>
      <c r="H3"/>
      <c r="I3"/>
      <c r="J3"/>
      <c r="K3"/>
      <c r="L3"/>
      <c r="M3"/>
      <c r="N3"/>
      <c r="O3"/>
      <c r="P3"/>
      <c r="Q3"/>
      <c r="R3"/>
    </row>
    <row r="4" spans="1:18" x14ac:dyDescent="0.35">
      <c r="A4" s="637" t="s">
        <v>410</v>
      </c>
      <c r="B4" s="637"/>
      <c r="C4" s="671"/>
      <c r="D4" s="671">
        <f>E4/12</f>
        <v>679.8137171333334</v>
      </c>
      <c r="E4" s="671">
        <f>E20+E14+E5</f>
        <v>8157.7646056000012</v>
      </c>
      <c r="F4" s="502">
        <f t="shared" ref="F4:G4" si="0">F20+F14+F5</f>
        <v>5354.8547454357667</v>
      </c>
      <c r="G4" s="502">
        <f t="shared" si="0"/>
        <v>2802.9098601642336</v>
      </c>
      <c r="H4" s="503">
        <f t="shared" ref="H4:H11" si="1">G4/$G$62</f>
        <v>2.0661027106796997E-2</v>
      </c>
      <c r="I4"/>
      <c r="J4"/>
      <c r="K4"/>
      <c r="L4"/>
      <c r="M4"/>
      <c r="N4"/>
      <c r="O4"/>
      <c r="P4"/>
      <c r="Q4"/>
      <c r="R4"/>
    </row>
    <row r="5" spans="1:18" x14ac:dyDescent="0.35">
      <c r="A5" s="636" t="s">
        <v>286</v>
      </c>
      <c r="B5" s="672" t="s">
        <v>547</v>
      </c>
      <c r="C5" s="671">
        <f>C6+C9</f>
        <v>75.228319999999997</v>
      </c>
      <c r="D5" s="673"/>
      <c r="E5" s="671">
        <f>E6+E9</f>
        <v>4722.8339296000004</v>
      </c>
      <c r="F5" s="504">
        <f>F6+F9</f>
        <v>3039.5340251975181</v>
      </c>
      <c r="G5" s="504">
        <f>E5-F5</f>
        <v>1683.2999044024823</v>
      </c>
      <c r="H5" s="503">
        <f t="shared" si="1"/>
        <v>1.2408071143497516E-2</v>
      </c>
      <c r="I5"/>
      <c r="J5"/>
      <c r="K5"/>
      <c r="L5"/>
      <c r="M5"/>
      <c r="N5"/>
      <c r="O5"/>
      <c r="P5"/>
      <c r="Q5"/>
      <c r="R5"/>
    </row>
    <row r="6" spans="1:18" hidden="1" outlineLevel="1" x14ac:dyDescent="0.35">
      <c r="A6" s="674" t="s">
        <v>430</v>
      </c>
      <c r="B6" s="672" t="s">
        <v>547</v>
      </c>
      <c r="C6" s="675">
        <f>SUM(C7:C8)</f>
        <v>0</v>
      </c>
      <c r="D6" s="673"/>
      <c r="E6" s="675">
        <f>SUM(E7:E8)</f>
        <v>0</v>
      </c>
      <c r="F6" s="505">
        <f>SUM(F7:F8)</f>
        <v>0</v>
      </c>
      <c r="G6" s="505">
        <f>E6-F6</f>
        <v>0</v>
      </c>
      <c r="H6" s="503">
        <f t="shared" si="1"/>
        <v>0</v>
      </c>
      <c r="I6"/>
      <c r="J6"/>
      <c r="K6"/>
      <c r="L6"/>
      <c r="M6"/>
      <c r="N6"/>
      <c r="O6"/>
      <c r="P6"/>
      <c r="Q6"/>
      <c r="R6"/>
    </row>
    <row r="7" spans="1:18" hidden="1" outlineLevel="1" x14ac:dyDescent="0.35">
      <c r="A7" s="676" t="s">
        <v>477</v>
      </c>
      <c r="B7" s="672" t="s">
        <v>547</v>
      </c>
      <c r="C7" s="717"/>
      <c r="D7" s="677"/>
      <c r="E7" s="675">
        <f>C7*Eeldused25!$C$4</f>
        <v>0</v>
      </c>
      <c r="F7" s="505">
        <f>E7</f>
        <v>0</v>
      </c>
      <c r="G7" s="505">
        <f>E7-F7</f>
        <v>0</v>
      </c>
      <c r="H7" s="503">
        <f t="shared" si="1"/>
        <v>0</v>
      </c>
      <c r="I7"/>
      <c r="J7"/>
      <c r="K7"/>
      <c r="L7"/>
      <c r="M7"/>
      <c r="N7"/>
      <c r="O7"/>
      <c r="P7"/>
      <c r="Q7"/>
      <c r="R7"/>
    </row>
    <row r="8" spans="1:18" hidden="1" outlineLevel="1" x14ac:dyDescent="0.35">
      <c r="A8" s="678" t="s">
        <v>478</v>
      </c>
      <c r="B8" s="672" t="s">
        <v>547</v>
      </c>
      <c r="C8" s="717"/>
      <c r="D8" s="677"/>
      <c r="E8" s="675">
        <f>C8*Eeldused25!$C$4</f>
        <v>0</v>
      </c>
      <c r="F8" s="505"/>
      <c r="G8" s="505">
        <f>E8-F8</f>
        <v>0</v>
      </c>
      <c r="H8" s="503">
        <f t="shared" si="1"/>
        <v>0</v>
      </c>
      <c r="I8"/>
      <c r="J8"/>
      <c r="K8"/>
      <c r="L8"/>
      <c r="M8"/>
      <c r="N8"/>
      <c r="O8"/>
      <c r="P8"/>
      <c r="Q8"/>
      <c r="R8"/>
    </row>
    <row r="9" spans="1:18" hidden="1" outlineLevel="1" x14ac:dyDescent="0.35">
      <c r="A9" s="674" t="s">
        <v>278</v>
      </c>
      <c r="B9" s="672" t="s">
        <v>547</v>
      </c>
      <c r="C9" s="675">
        <f>SUM(C10:C13)</f>
        <v>75.228319999999997</v>
      </c>
      <c r="D9" s="677"/>
      <c r="E9" s="675">
        <f>SUM(E10:E13)</f>
        <v>4722.8339296000004</v>
      </c>
      <c r="F9" s="505">
        <f>SUM(F10:F13)</f>
        <v>3039.5340251975181</v>
      </c>
      <c r="G9" s="505">
        <f>SUM(G10:G13)</f>
        <v>1683.2999044024821</v>
      </c>
      <c r="H9" s="503">
        <f t="shared" si="1"/>
        <v>1.2408071143497514E-2</v>
      </c>
      <c r="I9"/>
      <c r="J9"/>
      <c r="K9"/>
      <c r="L9"/>
      <c r="M9"/>
      <c r="N9"/>
      <c r="O9"/>
      <c r="P9"/>
      <c r="Q9"/>
      <c r="R9"/>
    </row>
    <row r="10" spans="1:18" hidden="1" outlineLevel="1" x14ac:dyDescent="0.35">
      <c r="A10" s="676" t="s">
        <v>477</v>
      </c>
      <c r="B10" s="672" t="s">
        <v>547</v>
      </c>
      <c r="C10" s="717">
        <f>Eeldused25!C14*(Eeldused25!C36*Ruumid!B36)/1000</f>
        <v>48.41564232554186</v>
      </c>
      <c r="D10" s="677"/>
      <c r="E10" s="675">
        <f>C10*Eeldused25!$C$4</f>
        <v>3039.5340251975181</v>
      </c>
      <c r="F10" s="505">
        <f>E10</f>
        <v>3039.5340251975181</v>
      </c>
      <c r="G10" s="505">
        <f>E10-F10</f>
        <v>0</v>
      </c>
      <c r="H10" s="503">
        <f t="shared" si="1"/>
        <v>0</v>
      </c>
      <c r="I10"/>
      <c r="J10"/>
      <c r="K10"/>
      <c r="L10"/>
      <c r="M10"/>
      <c r="N10"/>
      <c r="O10"/>
      <c r="P10"/>
      <c r="Q10"/>
      <c r="R10"/>
    </row>
    <row r="11" spans="1:18" ht="17.25" hidden="1" customHeight="1" outlineLevel="1" x14ac:dyDescent="0.35">
      <c r="A11" s="678" t="s">
        <v>478</v>
      </c>
      <c r="B11" s="672" t="s">
        <v>547</v>
      </c>
      <c r="C11" s="717">
        <f>Eeldused25!D14*(Eeldused25!D36*Ruumid!B36)/1000</f>
        <v>26.81267767445814</v>
      </c>
      <c r="D11" s="677"/>
      <c r="E11" s="675">
        <f>C11*Eeldused25!$C$4</f>
        <v>1683.2999044024821</v>
      </c>
      <c r="F11" s="505"/>
      <c r="G11" s="505">
        <f>E11</f>
        <v>1683.2999044024821</v>
      </c>
      <c r="H11" s="503">
        <f t="shared" si="1"/>
        <v>1.2408071143497514E-2</v>
      </c>
      <c r="I11"/>
      <c r="J11"/>
      <c r="K11"/>
      <c r="L11"/>
      <c r="M11"/>
      <c r="N11"/>
      <c r="O11"/>
      <c r="P11"/>
      <c r="Q11"/>
      <c r="R11"/>
    </row>
    <row r="12" spans="1:18" ht="14.25" hidden="1" customHeight="1" outlineLevel="1" x14ac:dyDescent="0.35">
      <c r="A12" s="676"/>
      <c r="B12" s="672"/>
      <c r="C12" s="675"/>
      <c r="D12" s="677"/>
      <c r="E12" s="675"/>
      <c r="F12" s="506"/>
      <c r="G12" s="507"/>
      <c r="H12" s="503"/>
      <c r="I12"/>
      <c r="J12"/>
      <c r="K12"/>
      <c r="L12"/>
      <c r="M12"/>
      <c r="N12"/>
      <c r="O12"/>
      <c r="P12"/>
      <c r="Q12"/>
      <c r="R12"/>
    </row>
    <row r="13" spans="1:18" hidden="1" outlineLevel="1" x14ac:dyDescent="0.35">
      <c r="A13" s="676"/>
      <c r="B13" s="672"/>
      <c r="C13" s="675"/>
      <c r="D13" s="677"/>
      <c r="E13" s="675"/>
      <c r="F13" s="506"/>
      <c r="G13" s="507"/>
      <c r="H13" s="503"/>
      <c r="I13"/>
      <c r="J13"/>
      <c r="K13"/>
      <c r="L13"/>
      <c r="M13"/>
      <c r="N13"/>
      <c r="O13"/>
      <c r="P13"/>
      <c r="Q13"/>
      <c r="R13"/>
    </row>
    <row r="14" spans="1:18" collapsed="1" x14ac:dyDescent="0.35">
      <c r="A14" s="636" t="s">
        <v>287</v>
      </c>
      <c r="B14" s="672" t="s">
        <v>479</v>
      </c>
      <c r="C14" s="671">
        <f>C15+C17</f>
        <v>4016.9250000000002</v>
      </c>
      <c r="D14" s="673"/>
      <c r="E14" s="671">
        <f>E15+E17</f>
        <v>771.24959999999999</v>
      </c>
      <c r="F14" s="504">
        <f>F15+F17</f>
        <v>601.02176679982995</v>
      </c>
      <c r="G14" s="504">
        <f>G15+G17</f>
        <v>170.22783320017004</v>
      </c>
      <c r="H14" s="508">
        <f t="shared" ref="H14:H39" si="2">G14/$G$62</f>
        <v>1.2547966404720383E-3</v>
      </c>
      <c r="I14"/>
      <c r="J14"/>
      <c r="K14"/>
      <c r="L14"/>
      <c r="M14"/>
      <c r="N14"/>
      <c r="O14"/>
      <c r="P14"/>
      <c r="Q14"/>
      <c r="R14"/>
    </row>
    <row r="15" spans="1:18" outlineLevel="1" x14ac:dyDescent="0.35">
      <c r="A15" s="674" t="str">
        <f>A6</f>
        <v>Stuudio</v>
      </c>
      <c r="B15" s="672" t="s">
        <v>480</v>
      </c>
      <c r="C15" s="675">
        <f>C16</f>
        <v>0</v>
      </c>
      <c r="D15" s="677"/>
      <c r="E15" s="675">
        <f>E16</f>
        <v>0</v>
      </c>
      <c r="F15" s="505">
        <f>F16</f>
        <v>0</v>
      </c>
      <c r="G15" s="505">
        <f>G16</f>
        <v>0</v>
      </c>
      <c r="H15" s="508">
        <f t="shared" si="2"/>
        <v>0</v>
      </c>
      <c r="I15"/>
      <c r="J15"/>
      <c r="K15"/>
      <c r="L15"/>
      <c r="M15"/>
      <c r="N15"/>
      <c r="O15"/>
      <c r="P15"/>
      <c r="Q15"/>
      <c r="R15"/>
    </row>
    <row r="16" spans="1:18" outlineLevel="1" x14ac:dyDescent="0.35">
      <c r="A16" s="676" t="s">
        <v>477</v>
      </c>
      <c r="B16" s="672" t="s">
        <v>480</v>
      </c>
      <c r="C16" s="675">
        <f>Eeldused25!C16*Eeldused25!H42*(Eeldused25!C25*Eeldused25!C34)/1000</f>
        <v>0</v>
      </c>
      <c r="D16" s="677"/>
      <c r="E16" s="675">
        <f>C16*Eeldused25!C5</f>
        <v>0</v>
      </c>
      <c r="F16" s="505">
        <f>E16</f>
        <v>0</v>
      </c>
      <c r="G16" s="505"/>
      <c r="H16" s="508">
        <f t="shared" si="2"/>
        <v>0</v>
      </c>
      <c r="I16"/>
      <c r="J16"/>
      <c r="K16"/>
      <c r="L16"/>
      <c r="M16"/>
      <c r="N16"/>
      <c r="O16"/>
      <c r="P16"/>
      <c r="Q16"/>
      <c r="R16"/>
    </row>
    <row r="17" spans="1:18" outlineLevel="1" x14ac:dyDescent="0.35">
      <c r="A17" s="674" t="str">
        <f>A9</f>
        <v>Inkubaator</v>
      </c>
      <c r="B17" s="672" t="s">
        <v>480</v>
      </c>
      <c r="C17" s="675">
        <f>SUM(C18:C19)</f>
        <v>4016.9250000000002</v>
      </c>
      <c r="D17" s="677"/>
      <c r="E17" s="675">
        <f>SUM(E18:E19)</f>
        <v>771.24959999999999</v>
      </c>
      <c r="F17" s="505">
        <f>SUM(F18:F19)</f>
        <v>601.02176679982995</v>
      </c>
      <c r="G17" s="505">
        <f>SUM(G18:G19)</f>
        <v>170.22783320017004</v>
      </c>
      <c r="H17" s="508">
        <f t="shared" si="2"/>
        <v>1.2547966404720383E-3</v>
      </c>
      <c r="I17"/>
      <c r="J17"/>
      <c r="K17"/>
      <c r="L17"/>
      <c r="M17"/>
      <c r="N17"/>
      <c r="O17"/>
      <c r="P17"/>
      <c r="Q17"/>
      <c r="R17"/>
    </row>
    <row r="18" spans="1:18" outlineLevel="1" x14ac:dyDescent="0.35">
      <c r="A18" s="676" t="s">
        <v>477</v>
      </c>
      <c r="B18" s="672" t="s">
        <v>480</v>
      </c>
      <c r="C18" s="675">
        <f>Eeldused25!C17*Eeldused25!H43*(Eeldused25!C27*Eeldused25!C36)/1000</f>
        <v>3130.3217020824477</v>
      </c>
      <c r="D18" s="677"/>
      <c r="E18" s="675">
        <f>C18*Eeldused25!$C$5</f>
        <v>601.02176679982995</v>
      </c>
      <c r="F18" s="505">
        <f>E18</f>
        <v>601.02176679982995</v>
      </c>
      <c r="G18" s="505"/>
      <c r="H18" s="508">
        <f t="shared" si="2"/>
        <v>0</v>
      </c>
      <c r="I18"/>
      <c r="J18"/>
      <c r="K18"/>
      <c r="L18"/>
      <c r="M18"/>
      <c r="N18"/>
      <c r="O18"/>
      <c r="P18"/>
      <c r="Q18"/>
      <c r="R18"/>
    </row>
    <row r="19" spans="1:18" outlineLevel="1" x14ac:dyDescent="0.35">
      <c r="A19" s="678" t="s">
        <v>481</v>
      </c>
      <c r="B19" s="672" t="s">
        <v>480</v>
      </c>
      <c r="C19" s="675">
        <f>Eeldused25!C17*Eeldused25!H43*(Eeldused25!C27*Eeldused25!D36-Eeldused25!E27)/1000</f>
        <v>886.60329791755225</v>
      </c>
      <c r="D19" s="677"/>
      <c r="E19" s="675">
        <f>C19*Eeldused25!C5</f>
        <v>170.22783320017004</v>
      </c>
      <c r="F19" s="505"/>
      <c r="G19" s="505">
        <f>E19-F19</f>
        <v>170.22783320017004</v>
      </c>
      <c r="H19" s="508">
        <f t="shared" si="2"/>
        <v>1.2547966404720383E-3</v>
      </c>
      <c r="I19"/>
      <c r="J19"/>
      <c r="K19"/>
      <c r="L19"/>
      <c r="M19"/>
      <c r="N19"/>
      <c r="O19"/>
      <c r="P19"/>
      <c r="Q19"/>
      <c r="R19"/>
    </row>
    <row r="20" spans="1:18" x14ac:dyDescent="0.35">
      <c r="A20" s="636" t="s">
        <v>397</v>
      </c>
      <c r="B20" s="637" t="s">
        <v>387</v>
      </c>
      <c r="C20" s="671">
        <f>SUM(C21:C22)</f>
        <v>954.04050000000007</v>
      </c>
      <c r="D20" s="671"/>
      <c r="E20" s="671">
        <f>C20*Eeldused25!C8+C21*Eeldused25!C6+C22*Eeldused25!C20</f>
        <v>2663.6810760000003</v>
      </c>
      <c r="F20" s="491">
        <f>E20*Eeldused25!C38</f>
        <v>1714.2989534384192</v>
      </c>
      <c r="G20" s="492">
        <f>E20*Eeldused25!D38</f>
        <v>949.38212256158101</v>
      </c>
      <c r="H20" s="508">
        <f t="shared" si="2"/>
        <v>6.9981593228274422E-3</v>
      </c>
      <c r="I20"/>
      <c r="J20"/>
      <c r="K20"/>
      <c r="L20"/>
      <c r="M20"/>
      <c r="N20"/>
      <c r="O20"/>
      <c r="P20"/>
      <c r="Q20"/>
      <c r="R20"/>
    </row>
    <row r="21" spans="1:18" outlineLevel="1" x14ac:dyDescent="0.35">
      <c r="A21" s="676" t="s">
        <v>398</v>
      </c>
      <c r="B21" s="637" t="s">
        <v>387</v>
      </c>
      <c r="C21" s="671">
        <f>Eeldused25!C19*Eeldused25!C49*12</f>
        <v>572.42430000000002</v>
      </c>
      <c r="D21" s="671"/>
      <c r="E21" s="671"/>
      <c r="F21" s="490"/>
      <c r="G21" s="490"/>
      <c r="H21" s="508">
        <f t="shared" si="2"/>
        <v>0</v>
      </c>
      <c r="I21"/>
      <c r="J21"/>
      <c r="K21"/>
      <c r="L21"/>
      <c r="M21"/>
      <c r="N21"/>
      <c r="O21"/>
      <c r="P21"/>
      <c r="Q21"/>
      <c r="R21"/>
    </row>
    <row r="22" spans="1:18" outlineLevel="1" x14ac:dyDescent="0.35">
      <c r="A22" s="676" t="s">
        <v>399</v>
      </c>
      <c r="B22" s="637" t="s">
        <v>387</v>
      </c>
      <c r="C22" s="671">
        <f>Eeldused25!C20*Eeldused25!C49*12</f>
        <v>381.61620000000005</v>
      </c>
      <c r="D22" s="671"/>
      <c r="E22" s="671"/>
      <c r="F22" s="490"/>
      <c r="G22" s="490"/>
      <c r="H22" s="508">
        <f t="shared" si="2"/>
        <v>0</v>
      </c>
      <c r="I22"/>
      <c r="J22"/>
      <c r="K22"/>
      <c r="L22"/>
      <c r="M22"/>
      <c r="N22"/>
      <c r="O22"/>
      <c r="P22"/>
      <c r="Q22"/>
      <c r="R22"/>
    </row>
    <row r="23" spans="1:18" x14ac:dyDescent="0.35">
      <c r="A23" s="636"/>
      <c r="B23" s="637"/>
      <c r="C23" s="671"/>
      <c r="D23" s="597"/>
      <c r="E23" s="671"/>
      <c r="F23" s="506"/>
      <c r="G23" s="507"/>
      <c r="H23" s="503">
        <f t="shared" si="2"/>
        <v>0</v>
      </c>
      <c r="I23"/>
      <c r="J23"/>
      <c r="K23"/>
      <c r="L23"/>
      <c r="M23"/>
      <c r="N23"/>
      <c r="O23"/>
      <c r="P23"/>
      <c r="Q23"/>
      <c r="R23"/>
    </row>
    <row r="24" spans="1:18" x14ac:dyDescent="0.35">
      <c r="A24" s="604"/>
      <c r="B24" s="672"/>
      <c r="C24" s="671"/>
      <c r="D24" s="597"/>
      <c r="E24" s="671"/>
      <c r="F24" s="509"/>
      <c r="G24" s="507"/>
      <c r="H24" s="503">
        <f t="shared" si="2"/>
        <v>0</v>
      </c>
      <c r="I24"/>
      <c r="J24"/>
      <c r="K24"/>
      <c r="L24"/>
      <c r="M24"/>
      <c r="N24"/>
      <c r="O24"/>
      <c r="P24"/>
      <c r="Q24"/>
      <c r="R24"/>
    </row>
    <row r="25" spans="1:18" ht="29.25" customHeight="1" x14ac:dyDescent="0.35">
      <c r="A25" s="637" t="s">
        <v>409</v>
      </c>
      <c r="B25" s="636"/>
      <c r="C25" s="673"/>
      <c r="D25" s="671">
        <f>SUM(D26:D28)</f>
        <v>5655.7260000000006</v>
      </c>
      <c r="E25" s="671">
        <f>SUM(E26:E28)</f>
        <v>67868.712</v>
      </c>
      <c r="F25" s="509">
        <f>SUM(F26:F28)</f>
        <v>0</v>
      </c>
      <c r="G25" s="493">
        <f>SUM(G26:G28)</f>
        <v>67868.712</v>
      </c>
      <c r="H25" s="503">
        <f t="shared" si="2"/>
        <v>0.50027912715439093</v>
      </c>
      <c r="I25"/>
      <c r="J25"/>
      <c r="L25"/>
      <c r="M25"/>
      <c r="N25"/>
      <c r="O25"/>
      <c r="P25"/>
      <c r="Q25"/>
      <c r="R25"/>
    </row>
    <row r="26" spans="1:18" ht="17.5" hidden="1" customHeight="1" outlineLevel="1" x14ac:dyDescent="0.35">
      <c r="A26" s="636" t="s">
        <v>395</v>
      </c>
      <c r="B26" s="679" t="s">
        <v>549</v>
      </c>
      <c r="C26" s="671">
        <v>2818</v>
      </c>
      <c r="D26" s="671">
        <f>C26*1.338*K26</f>
        <v>1885.2420000000002</v>
      </c>
      <c r="E26" s="671">
        <f>D26*12</f>
        <v>22622.904000000002</v>
      </c>
      <c r="F26" s="510"/>
      <c r="G26" s="493">
        <f>E26</f>
        <v>22622.904000000002</v>
      </c>
      <c r="H26" s="503">
        <f t="shared" si="2"/>
        <v>0.16675970905146364</v>
      </c>
      <c r="I26"/>
      <c r="J26" t="s">
        <v>494</v>
      </c>
      <c r="K26" s="694">
        <v>0.5</v>
      </c>
      <c r="L26"/>
      <c r="M26"/>
      <c r="N26"/>
      <c r="O26"/>
      <c r="P26"/>
      <c r="Q26"/>
      <c r="R26"/>
    </row>
    <row r="27" spans="1:18" ht="26.25" hidden="1" customHeight="1" outlineLevel="1" x14ac:dyDescent="0.35">
      <c r="A27" s="636" t="s">
        <v>396</v>
      </c>
      <c r="B27" s="679" t="s">
        <v>549</v>
      </c>
      <c r="C27" s="671">
        <v>2818</v>
      </c>
      <c r="D27" s="671">
        <f>C27*1.338*K27</f>
        <v>1885.2420000000002</v>
      </c>
      <c r="E27" s="671">
        <f>D27*12</f>
        <v>22622.904000000002</v>
      </c>
      <c r="F27" s="510"/>
      <c r="G27" s="493">
        <f>E27</f>
        <v>22622.904000000002</v>
      </c>
      <c r="H27" s="503">
        <f t="shared" si="2"/>
        <v>0.16675970905146364</v>
      </c>
      <c r="I27"/>
      <c r="J27"/>
      <c r="K27" s="694">
        <v>0.5</v>
      </c>
      <c r="L27"/>
      <c r="M27"/>
      <c r="N27"/>
      <c r="O27"/>
      <c r="P27"/>
      <c r="Q27"/>
      <c r="R27"/>
    </row>
    <row r="28" spans="1:18" ht="13.5" hidden="1" customHeight="1" outlineLevel="1" x14ac:dyDescent="0.35">
      <c r="A28" s="636" t="s">
        <v>504</v>
      </c>
      <c r="B28" s="679" t="s">
        <v>549</v>
      </c>
      <c r="C28" s="671">
        <v>2818</v>
      </c>
      <c r="D28" s="671">
        <f>C28*1.338*K28</f>
        <v>1885.2420000000002</v>
      </c>
      <c r="E28" s="671">
        <f>D28*12</f>
        <v>22622.904000000002</v>
      </c>
      <c r="F28" s="510"/>
      <c r="G28" s="493">
        <f>E28</f>
        <v>22622.904000000002</v>
      </c>
      <c r="H28" s="503">
        <f t="shared" si="2"/>
        <v>0.16675970905146364</v>
      </c>
      <c r="I28"/>
      <c r="J28"/>
      <c r="K28" s="694">
        <v>0.5</v>
      </c>
      <c r="L28"/>
      <c r="M28"/>
      <c r="N28"/>
      <c r="O28"/>
      <c r="P28"/>
      <c r="Q28"/>
      <c r="R28"/>
    </row>
    <row r="29" spans="1:18" collapsed="1" x14ac:dyDescent="0.35">
      <c r="A29" s="637" t="s">
        <v>407</v>
      </c>
      <c r="B29" s="680"/>
      <c r="C29" s="681"/>
      <c r="D29" s="671">
        <f>E29/12</f>
        <v>450</v>
      </c>
      <c r="E29" s="681">
        <f>SUM(E30:E30)</f>
        <v>5400</v>
      </c>
      <c r="F29" s="509">
        <f>SUM(F30:F30)</f>
        <v>0</v>
      </c>
      <c r="G29" s="493">
        <f>SUM(G30:G30)</f>
        <v>5400</v>
      </c>
      <c r="H29" s="503">
        <f t="shared" si="2"/>
        <v>3.9804899887207389E-2</v>
      </c>
      <c r="I29"/>
      <c r="J29"/>
      <c r="K29"/>
      <c r="L29"/>
      <c r="M29"/>
      <c r="N29"/>
      <c r="O29"/>
      <c r="P29"/>
      <c r="Q29"/>
      <c r="R29"/>
    </row>
    <row r="30" spans="1:18" hidden="1" outlineLevel="1" x14ac:dyDescent="0.35">
      <c r="A30" s="636" t="s">
        <v>408</v>
      </c>
      <c r="B30" s="637"/>
      <c r="C30" s="671"/>
      <c r="D30" s="698">
        <v>450</v>
      </c>
      <c r="E30" s="671">
        <f>D30*12</f>
        <v>5400</v>
      </c>
      <c r="F30" s="510"/>
      <c r="G30" s="509">
        <f>E30</f>
        <v>5400</v>
      </c>
      <c r="H30" s="503">
        <f t="shared" si="2"/>
        <v>3.9804899887207389E-2</v>
      </c>
      <c r="I30"/>
      <c r="J30"/>
      <c r="K30"/>
      <c r="L30"/>
      <c r="M30"/>
      <c r="N30"/>
      <c r="O30"/>
      <c r="P30"/>
      <c r="Q30"/>
      <c r="R30"/>
    </row>
    <row r="31" spans="1:18" collapsed="1" x14ac:dyDescent="0.35">
      <c r="A31" s="637" t="s">
        <v>400</v>
      </c>
      <c r="B31" s="637"/>
      <c r="C31" s="671"/>
      <c r="D31" s="671">
        <f>E31/12</f>
        <v>700</v>
      </c>
      <c r="E31" s="671">
        <f>E32+E33</f>
        <v>8400</v>
      </c>
      <c r="F31" s="509">
        <f>SUM(F32:F33)</f>
        <v>0</v>
      </c>
      <c r="G31" s="509">
        <f>SUM(G32:G33)</f>
        <v>8400</v>
      </c>
      <c r="H31" s="503">
        <f t="shared" si="2"/>
        <v>6.1918733157878166E-2</v>
      </c>
      <c r="I31"/>
      <c r="J31"/>
      <c r="K31"/>
      <c r="L31"/>
      <c r="M31"/>
      <c r="N31"/>
      <c r="O31"/>
      <c r="P31"/>
      <c r="Q31"/>
      <c r="R31"/>
    </row>
    <row r="32" spans="1:18" ht="22" hidden="1" outlineLevel="1" x14ac:dyDescent="0.35">
      <c r="A32" s="636" t="s">
        <v>288</v>
      </c>
      <c r="B32" s="679" t="s">
        <v>289</v>
      </c>
      <c r="C32" s="671"/>
      <c r="D32" s="698">
        <v>500</v>
      </c>
      <c r="E32" s="671">
        <f>D32*12</f>
        <v>6000</v>
      </c>
      <c r="F32" s="510"/>
      <c r="G32" s="509">
        <f>E32</f>
        <v>6000</v>
      </c>
      <c r="H32" s="503">
        <f t="shared" si="2"/>
        <v>4.4227666541341547E-2</v>
      </c>
      <c r="I32"/>
      <c r="J32"/>
      <c r="K32"/>
      <c r="L32"/>
      <c r="M32"/>
      <c r="N32"/>
      <c r="O32"/>
      <c r="P32"/>
      <c r="Q32"/>
      <c r="R32"/>
    </row>
    <row r="33" spans="1:18" ht="29" hidden="1" outlineLevel="1" x14ac:dyDescent="0.35">
      <c r="A33" s="636" t="s">
        <v>290</v>
      </c>
      <c r="B33" s="637"/>
      <c r="C33" s="671"/>
      <c r="D33" s="698">
        <v>200</v>
      </c>
      <c r="E33" s="671">
        <f>D33*12</f>
        <v>2400</v>
      </c>
      <c r="F33" s="510"/>
      <c r="G33" s="509">
        <f>E33</f>
        <v>2400</v>
      </c>
      <c r="H33" s="503">
        <f t="shared" si="2"/>
        <v>1.7691066616536619E-2</v>
      </c>
      <c r="I33"/>
      <c r="J33"/>
      <c r="K33"/>
      <c r="L33"/>
      <c r="M33"/>
      <c r="N33"/>
      <c r="O33"/>
      <c r="P33"/>
      <c r="Q33"/>
      <c r="R33"/>
    </row>
    <row r="34" spans="1:18" collapsed="1" x14ac:dyDescent="0.35">
      <c r="A34" s="636"/>
      <c r="B34" s="637"/>
      <c r="C34" s="671"/>
      <c r="D34" s="671"/>
      <c r="E34" s="671"/>
      <c r="F34" s="510"/>
      <c r="G34" s="509"/>
      <c r="H34" s="503">
        <f t="shared" si="2"/>
        <v>0</v>
      </c>
      <c r="I34"/>
      <c r="J34"/>
      <c r="K34"/>
      <c r="L34"/>
      <c r="M34"/>
      <c r="N34"/>
      <c r="O34"/>
      <c r="P34"/>
      <c r="Q34"/>
      <c r="R34"/>
    </row>
    <row r="35" spans="1:18" x14ac:dyDescent="0.35">
      <c r="A35" s="636"/>
      <c r="B35" s="637"/>
      <c r="C35" s="671"/>
      <c r="D35" s="671"/>
      <c r="E35" s="671"/>
      <c r="F35" s="510"/>
      <c r="G35" s="509"/>
      <c r="H35" s="503">
        <f t="shared" si="2"/>
        <v>0</v>
      </c>
      <c r="I35"/>
      <c r="J35"/>
      <c r="K35"/>
      <c r="L35"/>
      <c r="M35"/>
      <c r="N35"/>
      <c r="O35"/>
      <c r="P35"/>
      <c r="Q35"/>
      <c r="R35"/>
    </row>
    <row r="36" spans="1:18" x14ac:dyDescent="0.35">
      <c r="A36" s="637" t="s">
        <v>401</v>
      </c>
      <c r="B36" s="637"/>
      <c r="C36" s="671"/>
      <c r="D36" s="671">
        <f>E36/12</f>
        <v>3000</v>
      </c>
      <c r="E36" s="671">
        <f>SUM(E37:E42)</f>
        <v>36000</v>
      </c>
      <c r="F36" s="510">
        <f t="shared" ref="F36:G36" si="3">SUM(F37:F42)</f>
        <v>0</v>
      </c>
      <c r="G36" s="509">
        <f t="shared" si="3"/>
        <v>36000</v>
      </c>
      <c r="H36" s="503">
        <f t="shared" si="2"/>
        <v>0.26536599924804927</v>
      </c>
      <c r="I36"/>
      <c r="J36"/>
      <c r="K36"/>
      <c r="L36"/>
      <c r="M36"/>
      <c r="N36"/>
      <c r="O36"/>
      <c r="P36"/>
      <c r="Q36"/>
      <c r="R36"/>
    </row>
    <row r="37" spans="1:18" ht="29" hidden="1" x14ac:dyDescent="0.35">
      <c r="A37" s="636" t="s">
        <v>291</v>
      </c>
      <c r="B37" s="637"/>
      <c r="C37" s="671"/>
      <c r="D37" s="671"/>
      <c r="E37" s="671">
        <v>36000</v>
      </c>
      <c r="F37" s="510"/>
      <c r="G37" s="509">
        <f>E37</f>
        <v>36000</v>
      </c>
      <c r="H37" s="503">
        <f t="shared" si="2"/>
        <v>0.26536599924804927</v>
      </c>
      <c r="I37"/>
      <c r="J37"/>
      <c r="K37"/>
      <c r="L37"/>
      <c r="M37"/>
      <c r="N37"/>
      <c r="O37"/>
      <c r="P37"/>
      <c r="Q37"/>
      <c r="R37"/>
    </row>
    <row r="38" spans="1:18" hidden="1" x14ac:dyDescent="0.35">
      <c r="A38" s="636"/>
      <c r="B38" s="637"/>
      <c r="C38" s="671"/>
      <c r="D38" s="671"/>
      <c r="E38" s="671"/>
      <c r="F38" s="510"/>
      <c r="G38" s="509"/>
      <c r="H38" s="503">
        <f t="shared" si="2"/>
        <v>0</v>
      </c>
      <c r="I38"/>
      <c r="J38"/>
      <c r="K38"/>
      <c r="L38"/>
      <c r="M38"/>
      <c r="N38"/>
      <c r="O38"/>
      <c r="P38"/>
      <c r="Q38"/>
      <c r="R38"/>
    </row>
    <row r="39" spans="1:18" hidden="1" x14ac:dyDescent="0.35">
      <c r="A39" s="636"/>
      <c r="B39" s="637"/>
      <c r="C39" s="671"/>
      <c r="D39" s="671"/>
      <c r="E39" s="671"/>
      <c r="F39" s="510"/>
      <c r="G39" s="509"/>
      <c r="H39" s="503">
        <f t="shared" si="2"/>
        <v>0</v>
      </c>
      <c r="I39"/>
      <c r="J39"/>
      <c r="K39"/>
      <c r="L39"/>
      <c r="M39"/>
      <c r="N39"/>
      <c r="O39"/>
      <c r="P39"/>
      <c r="Q39"/>
      <c r="R39"/>
    </row>
    <row r="40" spans="1:18" hidden="1" x14ac:dyDescent="0.35">
      <c r="A40" s="636"/>
      <c r="B40" s="637"/>
      <c r="C40" s="671"/>
      <c r="D40" s="671"/>
      <c r="E40" s="671"/>
      <c r="F40" s="510"/>
      <c r="G40" s="509"/>
      <c r="H40" s="503"/>
      <c r="I40"/>
      <c r="J40"/>
      <c r="K40"/>
      <c r="L40"/>
      <c r="M40"/>
      <c r="N40"/>
      <c r="O40"/>
      <c r="P40"/>
      <c r="Q40"/>
      <c r="R40"/>
    </row>
    <row r="41" spans="1:18" hidden="1" x14ac:dyDescent="0.35">
      <c r="A41" s="636"/>
      <c r="B41" s="637"/>
      <c r="C41" s="671"/>
      <c r="D41" s="671"/>
      <c r="E41" s="671"/>
      <c r="F41" s="510"/>
      <c r="G41" s="509"/>
      <c r="H41" s="503"/>
      <c r="I41"/>
      <c r="J41"/>
      <c r="K41"/>
      <c r="L41"/>
      <c r="M41"/>
      <c r="N41"/>
      <c r="O41"/>
      <c r="P41"/>
      <c r="Q41"/>
      <c r="R41"/>
    </row>
    <row r="42" spans="1:18" hidden="1" x14ac:dyDescent="0.35">
      <c r="A42" s="636"/>
      <c r="B42" s="637"/>
      <c r="C42" s="671"/>
      <c r="D42" s="671"/>
      <c r="E42" s="671"/>
      <c r="F42" s="510"/>
      <c r="G42" s="509"/>
      <c r="H42" s="503"/>
      <c r="I42"/>
      <c r="J42"/>
      <c r="K42"/>
      <c r="L42"/>
      <c r="M42"/>
      <c r="N42"/>
      <c r="O42"/>
      <c r="P42"/>
      <c r="Q42"/>
      <c r="R42"/>
    </row>
    <row r="43" spans="1:18" x14ac:dyDescent="0.35">
      <c r="A43" s="637" t="s">
        <v>464</v>
      </c>
      <c r="B43" s="637"/>
      <c r="C43" s="671"/>
      <c r="D43" s="671">
        <f>E43/12</f>
        <v>760</v>
      </c>
      <c r="E43" s="671">
        <f>SUM(E44:E47)</f>
        <v>9120</v>
      </c>
      <c r="F43" s="511">
        <f>SUM(F44:F47)</f>
        <v>5869.473863153421</v>
      </c>
      <c r="G43" s="509">
        <f>SUM(G44:G47)</f>
        <v>3250.526136846579</v>
      </c>
      <c r="H43" s="503"/>
      <c r="I43"/>
      <c r="J43"/>
      <c r="K43"/>
      <c r="L43"/>
      <c r="M43"/>
      <c r="N43"/>
      <c r="O43"/>
      <c r="P43"/>
      <c r="Q43"/>
      <c r="R43"/>
    </row>
    <row r="44" spans="1:18" ht="32.5" hidden="1" outlineLevel="1" x14ac:dyDescent="0.35">
      <c r="A44" s="636" t="s">
        <v>292</v>
      </c>
      <c r="B44" s="679" t="s">
        <v>495</v>
      </c>
      <c r="C44" s="671"/>
      <c r="D44" s="698">
        <f>ROUND(8*8*10+700/12,-1)*1</f>
        <v>700</v>
      </c>
      <c r="E44" s="671">
        <f>D44*12</f>
        <v>8400</v>
      </c>
      <c r="F44" s="506">
        <f>E44*Eeldused25!$C$38</f>
        <v>5406.0943476413086</v>
      </c>
      <c r="G44" s="506">
        <f>E44*Eeldused25!$D$38</f>
        <v>2993.905652358691</v>
      </c>
      <c r="H44" s="503">
        <f>G44/$G$62</f>
        <v>2.2068910141459636E-2</v>
      </c>
      <c r="I44"/>
      <c r="J44"/>
      <c r="K44"/>
      <c r="L44"/>
      <c r="M44"/>
      <c r="N44"/>
      <c r="O44"/>
      <c r="P44"/>
      <c r="Q44"/>
      <c r="R44"/>
    </row>
    <row r="45" spans="1:18" hidden="1" outlineLevel="1" x14ac:dyDescent="0.35">
      <c r="A45" s="636" t="s">
        <v>293</v>
      </c>
      <c r="B45" s="637"/>
      <c r="C45" s="671"/>
      <c r="D45" s="699">
        <v>60</v>
      </c>
      <c r="E45" s="671">
        <f>D45*12</f>
        <v>720</v>
      </c>
      <c r="F45" s="506">
        <f>E45*Eeldused25!$C$38</f>
        <v>463.37951551211216</v>
      </c>
      <c r="G45" s="506">
        <f>E45*Eeldused25!$D$38</f>
        <v>256.62048448788778</v>
      </c>
      <c r="H45" s="503">
        <f>G45/$G$62</f>
        <v>1.8916208692679687E-3</v>
      </c>
      <c r="I45"/>
      <c r="J45"/>
      <c r="K45"/>
      <c r="L45"/>
      <c r="M45"/>
      <c r="N45"/>
      <c r="O45"/>
      <c r="P45"/>
      <c r="Q45"/>
      <c r="R45"/>
    </row>
    <row r="46" spans="1:18" hidden="1" outlineLevel="1" x14ac:dyDescent="0.35">
      <c r="A46" s="636" t="s">
        <v>294</v>
      </c>
      <c r="B46" s="637"/>
      <c r="C46" s="671"/>
      <c r="D46" s="671"/>
      <c r="E46" s="671"/>
      <c r="F46" s="510"/>
      <c r="G46" s="509"/>
      <c r="H46" s="503"/>
      <c r="I46"/>
      <c r="J46"/>
      <c r="K46"/>
      <c r="L46"/>
      <c r="M46"/>
      <c r="N46"/>
      <c r="O46"/>
      <c r="P46"/>
      <c r="Q46"/>
      <c r="R46"/>
    </row>
    <row r="47" spans="1:18" collapsed="1" x14ac:dyDescent="0.35">
      <c r="A47" s="636"/>
      <c r="B47" s="637"/>
      <c r="C47" s="671"/>
      <c r="D47" s="671"/>
      <c r="E47" s="671"/>
      <c r="F47" s="510"/>
      <c r="G47" s="509"/>
      <c r="H47" s="503"/>
      <c r="I47"/>
      <c r="J47"/>
      <c r="K47"/>
      <c r="L47"/>
      <c r="M47"/>
      <c r="N47"/>
      <c r="O47"/>
      <c r="P47"/>
      <c r="Q47"/>
      <c r="R47"/>
    </row>
    <row r="48" spans="1:18" ht="18" customHeight="1" x14ac:dyDescent="0.35">
      <c r="A48" s="637" t="s">
        <v>402</v>
      </c>
      <c r="B48" s="637"/>
      <c r="C48" s="671"/>
      <c r="D48" s="671">
        <f>E48/12</f>
        <v>538.91666666666663</v>
      </c>
      <c r="E48" s="671">
        <f>SUM(E49:E53)</f>
        <v>6467</v>
      </c>
      <c r="F48" s="511">
        <f>SUM(F49:F53)</f>
        <v>4162.0490650233742</v>
      </c>
      <c r="G48" s="509">
        <f>SUM(G49:G53)</f>
        <v>2304.9509349766258</v>
      </c>
      <c r="H48" s="503">
        <f>G48/$G$62</f>
        <v>1.6990433557716605E-2</v>
      </c>
      <c r="I48"/>
      <c r="J48"/>
      <c r="K48"/>
      <c r="L48"/>
      <c r="M48"/>
      <c r="N48"/>
      <c r="O48"/>
      <c r="P48"/>
      <c r="Q48"/>
      <c r="R48"/>
    </row>
    <row r="49" spans="1:18" ht="22" hidden="1" outlineLevel="1" x14ac:dyDescent="0.35">
      <c r="A49" s="636" t="s">
        <v>295</v>
      </c>
      <c r="B49" s="679" t="s">
        <v>497</v>
      </c>
      <c r="C49" s="671"/>
      <c r="D49" s="698">
        <f>E49/12</f>
        <v>47.25</v>
      </c>
      <c r="E49" s="671">
        <f>13.5*6*7</f>
        <v>567</v>
      </c>
      <c r="F49" s="506">
        <f>E49*Eeldused25!$C$38</f>
        <v>364.91136846578831</v>
      </c>
      <c r="G49" s="506">
        <f>E49*Eeldused25!$D$38</f>
        <v>202.08863153421166</v>
      </c>
      <c r="H49" s="503">
        <f>G49/$G$62</f>
        <v>1.4896514345485255E-3</v>
      </c>
      <c r="I49"/>
      <c r="J49"/>
      <c r="K49"/>
      <c r="L49"/>
      <c r="M49"/>
      <c r="N49"/>
      <c r="O49"/>
      <c r="P49"/>
      <c r="Q49"/>
      <c r="R49"/>
    </row>
    <row r="50" spans="1:18" ht="22" hidden="1" outlineLevel="1" x14ac:dyDescent="0.35">
      <c r="A50" s="636" t="s">
        <v>296</v>
      </c>
      <c r="B50" s="679" t="s">
        <v>496</v>
      </c>
      <c r="C50" s="671">
        <v>300</v>
      </c>
      <c r="D50" s="698">
        <f>E50/12</f>
        <v>75</v>
      </c>
      <c r="E50" s="671">
        <f>C50*3</f>
        <v>900</v>
      </c>
      <c r="F50" s="506">
        <f>E50*Eeldused25!$C$38</f>
        <v>579.22439439014022</v>
      </c>
      <c r="G50" s="506">
        <f>E50*Eeldused25!$D$38</f>
        <v>320.77560560985978</v>
      </c>
      <c r="H50" s="503">
        <f>G50/$G$62</f>
        <v>2.364526086584961E-3</v>
      </c>
      <c r="I50"/>
      <c r="J50"/>
      <c r="K50"/>
      <c r="L50"/>
      <c r="M50"/>
      <c r="N50"/>
      <c r="O50"/>
      <c r="P50"/>
      <c r="Q50"/>
      <c r="R50"/>
    </row>
    <row r="51" spans="1:18" hidden="1" outlineLevel="1" x14ac:dyDescent="0.35">
      <c r="A51" s="636" t="s">
        <v>297</v>
      </c>
      <c r="B51" s="637"/>
      <c r="C51" s="671"/>
      <c r="D51" s="698">
        <f>E51/12</f>
        <v>83.333333333333329</v>
      </c>
      <c r="E51" s="671">
        <v>1000</v>
      </c>
      <c r="F51" s="506">
        <f>E51*Eeldused25!$C$38</f>
        <v>643.58266043348908</v>
      </c>
      <c r="G51" s="506">
        <f>E51*Eeldused25!$D$38</f>
        <v>356.41733956651086</v>
      </c>
      <c r="H51" s="503">
        <f>G51/$G$62</f>
        <v>2.6272512073166237E-3</v>
      </c>
      <c r="I51"/>
      <c r="J51"/>
      <c r="K51" s="489"/>
      <c r="L51"/>
      <c r="M51"/>
      <c r="N51"/>
      <c r="O51"/>
      <c r="P51"/>
      <c r="Q51"/>
      <c r="R51"/>
    </row>
    <row r="52" spans="1:18" hidden="1" outlineLevel="1" x14ac:dyDescent="0.35">
      <c r="A52" s="636" t="s">
        <v>298</v>
      </c>
      <c r="B52" s="637"/>
      <c r="C52" s="671"/>
      <c r="D52" s="698">
        <f>E52/12</f>
        <v>333.33333333333331</v>
      </c>
      <c r="E52" s="671">
        <f>2000*2</f>
        <v>4000</v>
      </c>
      <c r="F52" s="506">
        <f>E52*Eeldused25!$C$38</f>
        <v>2574.3306417339563</v>
      </c>
      <c r="G52" s="506">
        <f>E52*Eeldused25!$D$38</f>
        <v>1425.6693582660434</v>
      </c>
      <c r="H52" s="503">
        <f>G52/$G$62</f>
        <v>1.0509004829266495E-2</v>
      </c>
      <c r="I52"/>
      <c r="J52"/>
      <c r="K52"/>
      <c r="L52"/>
      <c r="M52"/>
      <c r="N52"/>
      <c r="O52"/>
      <c r="P52"/>
      <c r="Q52"/>
      <c r="R52"/>
    </row>
    <row r="53" spans="1:18" hidden="1" outlineLevel="1" x14ac:dyDescent="0.35">
      <c r="A53" s="636"/>
      <c r="B53" s="637"/>
      <c r="C53" s="671"/>
      <c r="D53" s="671"/>
      <c r="E53" s="671"/>
      <c r="F53" s="506"/>
      <c r="G53" s="506"/>
      <c r="H53" s="503"/>
      <c r="I53"/>
      <c r="J53"/>
      <c r="K53"/>
      <c r="L53"/>
      <c r="M53"/>
      <c r="N53"/>
      <c r="O53"/>
      <c r="P53"/>
      <c r="Q53"/>
      <c r="R53"/>
    </row>
    <row r="54" spans="1:18" collapsed="1" x14ac:dyDescent="0.35">
      <c r="A54" s="637" t="s">
        <v>403</v>
      </c>
      <c r="B54" s="637"/>
      <c r="C54" s="671"/>
      <c r="D54" s="671">
        <v>400</v>
      </c>
      <c r="E54" s="671">
        <f>D54*12</f>
        <v>4800</v>
      </c>
      <c r="F54" s="506">
        <f>E54*Eeldused25!$C$38</f>
        <v>3089.1967700807477</v>
      </c>
      <c r="G54" s="506">
        <f>E54*Eeldused25!$D$38</f>
        <v>1710.8032299192521</v>
      </c>
      <c r="H54" s="503">
        <f t="shared" ref="H54:H59" si="4">G54/$G$62</f>
        <v>1.2610805795119792E-2</v>
      </c>
      <c r="I54"/>
      <c r="J54"/>
      <c r="K54"/>
      <c r="L54"/>
      <c r="M54"/>
      <c r="N54"/>
      <c r="O54"/>
      <c r="P54"/>
      <c r="Q54"/>
      <c r="R54"/>
    </row>
    <row r="55" spans="1:18" ht="30.75" customHeight="1" x14ac:dyDescent="0.35">
      <c r="A55" s="637" t="s">
        <v>404</v>
      </c>
      <c r="B55" s="637" t="s">
        <v>482</v>
      </c>
      <c r="C55" s="682">
        <v>1E-3</v>
      </c>
      <c r="D55" s="671">
        <f>E55/12</f>
        <v>434.03220833333336</v>
      </c>
      <c r="E55" s="671">
        <f>C55*'1. Projekti elluviimise kulud'!J19</f>
        <v>5208.3865000000005</v>
      </c>
      <c r="F55" s="510"/>
      <c r="G55" s="509">
        <f>E55</f>
        <v>5208.3865000000005</v>
      </c>
      <c r="H55" s="503">
        <f t="shared" si="4"/>
        <v>3.8392463556737505E-2</v>
      </c>
      <c r="I55"/>
      <c r="J55"/>
      <c r="K55"/>
      <c r="L55"/>
      <c r="M55"/>
      <c r="N55"/>
      <c r="O55"/>
      <c r="P55"/>
      <c r="Q55"/>
      <c r="R55"/>
    </row>
    <row r="56" spans="1:18" x14ac:dyDescent="0.35">
      <c r="A56" s="637" t="s">
        <v>405</v>
      </c>
      <c r="B56" s="637"/>
      <c r="C56" s="671"/>
      <c r="D56" s="671">
        <f>E56/12</f>
        <v>355</v>
      </c>
      <c r="E56" s="671">
        <f>SUM(E57:E61)</f>
        <v>4260</v>
      </c>
      <c r="F56" s="512">
        <f>SUM(F57:F61)</f>
        <v>1544.5983850403738</v>
      </c>
      <c r="G56" s="509">
        <f>SUM(G57:G61)</f>
        <v>2715.4016149596259</v>
      </c>
      <c r="H56" s="503">
        <f t="shared" si="4"/>
        <v>2.0015979525375774E-2</v>
      </c>
      <c r="I56"/>
      <c r="J56"/>
      <c r="K56"/>
      <c r="L56"/>
      <c r="M56"/>
      <c r="N56"/>
      <c r="O56"/>
      <c r="P56"/>
      <c r="Q56"/>
      <c r="R56"/>
    </row>
    <row r="57" spans="1:18" ht="29" hidden="1" outlineLevel="1" x14ac:dyDescent="0.35">
      <c r="A57" s="636" t="s">
        <v>299</v>
      </c>
      <c r="B57" s="637"/>
      <c r="C57" s="671"/>
      <c r="D57" s="671">
        <v>55</v>
      </c>
      <c r="E57" s="671">
        <f>D57*12</f>
        <v>660</v>
      </c>
      <c r="F57" s="510"/>
      <c r="G57" s="509">
        <f>E57</f>
        <v>660</v>
      </c>
      <c r="H57" s="503">
        <f t="shared" si="4"/>
        <v>4.8650433195475701E-3</v>
      </c>
      <c r="I57"/>
      <c r="J57"/>
      <c r="K57"/>
      <c r="L57"/>
      <c r="M57"/>
      <c r="N57"/>
      <c r="O57"/>
      <c r="P57"/>
      <c r="Q57"/>
      <c r="R57"/>
    </row>
    <row r="58" spans="1:18" hidden="1" outlineLevel="1" x14ac:dyDescent="0.35">
      <c r="A58" s="636" t="s">
        <v>300</v>
      </c>
      <c r="B58" s="637"/>
      <c r="C58" s="671"/>
      <c r="D58" s="698">
        <v>200</v>
      </c>
      <c r="E58" s="671">
        <f>D58*12</f>
        <v>2400</v>
      </c>
      <c r="F58" s="506">
        <f>E58*Eeldused25!$C$38</f>
        <v>1544.5983850403738</v>
      </c>
      <c r="G58" s="506">
        <f>E58*Eeldused25!$D$38</f>
        <v>855.40161495962604</v>
      </c>
      <c r="H58" s="503">
        <f t="shared" si="4"/>
        <v>6.3054028975598961E-3</v>
      </c>
      <c r="I58"/>
      <c r="J58"/>
      <c r="K58"/>
      <c r="L58"/>
      <c r="M58"/>
      <c r="N58"/>
      <c r="O58"/>
      <c r="P58"/>
      <c r="Q58"/>
      <c r="R58"/>
    </row>
    <row r="59" spans="1:18" hidden="1" outlineLevel="1" x14ac:dyDescent="0.35">
      <c r="A59" s="636" t="s">
        <v>283</v>
      </c>
      <c r="B59" s="637"/>
      <c r="C59" s="671"/>
      <c r="D59" s="698">
        <v>100</v>
      </c>
      <c r="E59" s="671">
        <f>D59*12</f>
        <v>1200</v>
      </c>
      <c r="F59" s="506"/>
      <c r="G59" s="507">
        <f>E59</f>
        <v>1200</v>
      </c>
      <c r="H59" s="503">
        <f t="shared" si="4"/>
        <v>8.8455333082683094E-3</v>
      </c>
      <c r="I59"/>
      <c r="J59"/>
      <c r="K59"/>
      <c r="L59"/>
      <c r="M59"/>
      <c r="N59"/>
      <c r="O59"/>
      <c r="P59"/>
      <c r="Q59"/>
      <c r="R59"/>
    </row>
    <row r="60" spans="1:18" hidden="1" outlineLevel="1" x14ac:dyDescent="0.35">
      <c r="A60" s="636"/>
      <c r="B60" s="637"/>
      <c r="C60" s="671"/>
      <c r="D60" s="671"/>
      <c r="E60" s="671"/>
      <c r="F60" s="507"/>
      <c r="G60" s="507"/>
      <c r="H60" s="487">
        <f>G60/$G$71</f>
        <v>0</v>
      </c>
      <c r="I60"/>
      <c r="J60"/>
      <c r="K60"/>
      <c r="L60"/>
      <c r="M60"/>
      <c r="N60"/>
      <c r="O60"/>
      <c r="P60"/>
      <c r="Q60"/>
      <c r="R60"/>
    </row>
    <row r="61" spans="1:18" collapsed="1" x14ac:dyDescent="0.35">
      <c r="A61" s="636"/>
      <c r="B61" s="637"/>
      <c r="C61" s="671"/>
      <c r="D61" s="671"/>
      <c r="E61" s="671"/>
      <c r="F61" s="507"/>
      <c r="G61" s="507"/>
      <c r="H61" s="487"/>
      <c r="I61"/>
      <c r="J61"/>
      <c r="K61"/>
      <c r="L61"/>
      <c r="M61"/>
      <c r="N61"/>
      <c r="O61"/>
      <c r="P61"/>
      <c r="Q61"/>
      <c r="R61"/>
    </row>
    <row r="62" spans="1:18" x14ac:dyDescent="0.35">
      <c r="A62" s="683" t="s">
        <v>349</v>
      </c>
      <c r="B62" s="637"/>
      <c r="C62" s="671"/>
      <c r="D62" s="684">
        <f>E62/12</f>
        <v>12973.488592133333</v>
      </c>
      <c r="E62" s="684">
        <f>E4+E25+E29+E31+E56+E36+E43+E48+E54+E55</f>
        <v>155681.8631056</v>
      </c>
      <c r="F62" s="513">
        <f>F4+F25+F29+F31+F56+F36+F43+F48+F54+F55</f>
        <v>20020.172828733681</v>
      </c>
      <c r="G62" s="513">
        <f>G4+G25+G29+G31+G56+G36+G43+G48+G54+G55</f>
        <v>135661.69027686631</v>
      </c>
      <c r="H62" s="503"/>
      <c r="I62"/>
      <c r="J62"/>
      <c r="K62" s="494"/>
      <c r="L62"/>
      <c r="M62"/>
      <c r="N62"/>
      <c r="O62"/>
      <c r="P62"/>
      <c r="Q62"/>
      <c r="R62"/>
    </row>
    <row r="63" spans="1:18" x14ac:dyDescent="0.35">
      <c r="A63" s="683"/>
      <c r="B63" s="637"/>
      <c r="C63" s="671"/>
      <c r="D63" s="671"/>
      <c r="E63" s="684"/>
      <c r="F63" s="507"/>
      <c r="G63" s="507"/>
      <c r="H63" s="503"/>
      <c r="I63"/>
      <c r="J63"/>
      <c r="K63"/>
      <c r="L63"/>
      <c r="M63"/>
      <c r="N63"/>
      <c r="O63"/>
      <c r="P63"/>
      <c r="Q63"/>
      <c r="R63"/>
    </row>
    <row r="64" spans="1:18" x14ac:dyDescent="0.35">
      <c r="A64" s="670" t="s">
        <v>406</v>
      </c>
      <c r="B64" s="637"/>
      <c r="C64" s="671"/>
      <c r="D64" s="600"/>
      <c r="E64" s="600"/>
      <c r="F64" s="485"/>
      <c r="G64" s="509"/>
      <c r="H64" s="503"/>
      <c r="I64"/>
      <c r="J64"/>
      <c r="K64"/>
      <c r="L64"/>
      <c r="M64"/>
      <c r="N64"/>
      <c r="O64"/>
      <c r="P64"/>
      <c r="Q64"/>
      <c r="R64"/>
    </row>
    <row r="65" spans="1:18" x14ac:dyDescent="0.35">
      <c r="A65" s="636" t="s">
        <v>327</v>
      </c>
      <c r="B65" s="637"/>
      <c r="C65" s="685"/>
      <c r="D65" s="671">
        <f>E65/12</f>
        <v>14343.331666666667</v>
      </c>
      <c r="E65" s="671">
        <f>('1. Projekti elluviimise kulud'!J8+'1. Projekti elluviimise kulud'!J10+'1. Projekti elluviimise kulud'!J6)/'1. Projekti elluviimise kulud'!L8</f>
        <v>172119.98</v>
      </c>
      <c r="F65" s="485"/>
      <c r="G65" s="509">
        <f>E65</f>
        <v>172119.98</v>
      </c>
      <c r="H65" s="503"/>
      <c r="I65"/>
      <c r="J65"/>
      <c r="K65"/>
      <c r="L65"/>
      <c r="M65"/>
      <c r="N65"/>
      <c r="O65"/>
      <c r="P65"/>
      <c r="Q65"/>
      <c r="R65"/>
    </row>
    <row r="66" spans="1:18" x14ac:dyDescent="0.35">
      <c r="A66" s="636" t="s">
        <v>328</v>
      </c>
      <c r="B66" s="637"/>
      <c r="C66" s="685"/>
      <c r="D66" s="671">
        <f>E66/12</f>
        <v>5790.9423076923076</v>
      </c>
      <c r="E66" s="671">
        <f>'1. Projekti elluviimise kulud'!J9/'1. Projekti elluviimise kulud'!L9</f>
        <v>69491.307692307688</v>
      </c>
      <c r="F66" s="485"/>
      <c r="G66" s="509">
        <f>E66</f>
        <v>69491.307692307688</v>
      </c>
      <c r="H66" s="503"/>
      <c r="I66"/>
      <c r="J66"/>
      <c r="K66"/>
      <c r="L66"/>
      <c r="M66"/>
      <c r="N66"/>
      <c r="O66"/>
      <c r="P66"/>
      <c r="Q66"/>
      <c r="R66"/>
    </row>
    <row r="67" spans="1:18" ht="30.75" hidden="1" customHeight="1" x14ac:dyDescent="0.35">
      <c r="A67" s="636"/>
      <c r="B67" s="637"/>
      <c r="C67" s="685"/>
      <c r="D67" s="671"/>
      <c r="E67" s="671"/>
      <c r="F67" s="485"/>
      <c r="G67" s="509">
        <f>E67</f>
        <v>0</v>
      </c>
      <c r="H67" s="503"/>
      <c r="I67"/>
      <c r="J67"/>
      <c r="K67"/>
      <c r="L67"/>
      <c r="M67"/>
      <c r="N67"/>
      <c r="O67"/>
      <c r="P67"/>
      <c r="Q67"/>
      <c r="R67"/>
    </row>
    <row r="68" spans="1:18" ht="31.5" hidden="1" customHeight="1" x14ac:dyDescent="0.35">
      <c r="A68" s="636"/>
      <c r="B68" s="637"/>
      <c r="C68" s="685"/>
      <c r="D68" s="671"/>
      <c r="E68" s="671"/>
      <c r="F68" s="485"/>
      <c r="G68" s="509">
        <f>E68</f>
        <v>0</v>
      </c>
      <c r="H68" s="503"/>
      <c r="I68"/>
      <c r="J68"/>
      <c r="K68"/>
      <c r="L68"/>
      <c r="M68"/>
      <c r="N68"/>
      <c r="O68"/>
      <c r="P68"/>
      <c r="Q68"/>
      <c r="R68"/>
    </row>
    <row r="69" spans="1:18" x14ac:dyDescent="0.35">
      <c r="A69" s="683" t="s">
        <v>483</v>
      </c>
      <c r="B69" s="597"/>
      <c r="C69" s="612"/>
      <c r="D69" s="684">
        <f>SUM(D65:D68)</f>
        <v>20134.273974358974</v>
      </c>
      <c r="E69" s="684">
        <f>SUM(E65:E68)</f>
        <v>241611.2876923077</v>
      </c>
      <c r="F69" s="513">
        <f>SUM(F65:F68)</f>
        <v>0</v>
      </c>
      <c r="G69" s="513">
        <f>SUM(G65:G68)</f>
        <v>241611.2876923077</v>
      </c>
      <c r="H69"/>
      <c r="I69"/>
      <c r="J69"/>
      <c r="K69"/>
      <c r="L69"/>
      <c r="M69"/>
      <c r="N69"/>
      <c r="O69"/>
      <c r="P69"/>
      <c r="Q69"/>
      <c r="R69"/>
    </row>
    <row r="70" spans="1:18" x14ac:dyDescent="0.35">
      <c r="A70" s="683"/>
      <c r="B70" s="597"/>
      <c r="C70" s="612"/>
      <c r="D70" s="671"/>
      <c r="E70" s="671"/>
      <c r="F70" s="485"/>
      <c r="G70" s="485"/>
      <c r="H70"/>
      <c r="I70"/>
      <c r="J70"/>
      <c r="K70"/>
      <c r="L70"/>
      <c r="M70"/>
      <c r="N70"/>
      <c r="O70"/>
      <c r="P70"/>
      <c r="Q70"/>
      <c r="R70"/>
    </row>
    <row r="71" spans="1:18" x14ac:dyDescent="0.35">
      <c r="A71" s="669" t="s">
        <v>65</v>
      </c>
      <c r="B71" s="663"/>
      <c r="C71" s="663"/>
      <c r="D71" s="664">
        <f>E71/12</f>
        <v>33107.762566492311</v>
      </c>
      <c r="E71" s="664">
        <f>E62+E69</f>
        <v>397293.15079790773</v>
      </c>
      <c r="F71" s="497">
        <f>F62+F69</f>
        <v>20020.172828733681</v>
      </c>
      <c r="G71" s="497">
        <f>G62+G69</f>
        <v>377272.97796917404</v>
      </c>
      <c r="H71"/>
      <c r="I71"/>
      <c r="J71"/>
      <c r="K71"/>
      <c r="L71"/>
      <c r="M71"/>
      <c r="N71"/>
      <c r="O71"/>
      <c r="P71"/>
      <c r="Q71"/>
      <c r="R71"/>
    </row>
    <row r="72" spans="1:18" x14ac:dyDescent="0.35">
      <c r="A72" s="514"/>
      <c r="B72" s="515"/>
      <c r="C72" s="515"/>
      <c r="D72" s="516"/>
      <c r="E72" s="516"/>
      <c r="F72" s="516"/>
      <c r="G72" s="516"/>
      <c r="H72"/>
      <c r="I72"/>
      <c r="J72"/>
      <c r="K72"/>
      <c r="L72"/>
      <c r="M72"/>
      <c r="N72"/>
      <c r="O72"/>
      <c r="P72"/>
      <c r="Q72"/>
      <c r="R72"/>
    </row>
    <row r="73" spans="1:18" x14ac:dyDescent="0.35">
      <c r="A73" s="710"/>
      <c r="B73" s="711"/>
      <c r="C73" s="711"/>
      <c r="D73" s="712"/>
      <c r="E73" s="712"/>
      <c r="F73" s="712"/>
      <c r="G73" s="712"/>
    </row>
    <row r="74" spans="1:18" x14ac:dyDescent="0.35">
      <c r="E74" s="713"/>
      <c r="G74" s="713"/>
    </row>
    <row r="75" spans="1:18" x14ac:dyDescent="0.35">
      <c r="E75" s="714"/>
      <c r="G75" s="714"/>
    </row>
    <row r="77" spans="1:18" x14ac:dyDescent="0.35">
      <c r="E77" s="715"/>
    </row>
  </sheetData>
  <conditionalFormatting sqref="H2:H73">
    <cfRule type="cellIs" dxfId="3" priority="1" operator="equal">
      <formula>0</formula>
    </cfRule>
  </conditionalFormatting>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52"/>
  <sheetViews>
    <sheetView workbookViewId="0">
      <selection activeCell="N10" sqref="N10"/>
    </sheetView>
  </sheetViews>
  <sheetFormatPr defaultColWidth="9.1796875" defaultRowHeight="14.5" outlineLevelCol="2" x14ac:dyDescent="0.35"/>
  <cols>
    <col min="1" max="1" width="33.453125" style="708" customWidth="1"/>
    <col min="2" max="2" width="17.36328125" style="708" customWidth="1"/>
    <col min="3" max="3" width="15.453125" style="708" customWidth="1"/>
    <col min="4" max="4" width="20" style="708" customWidth="1"/>
    <col min="5" max="5" width="10.453125" style="708" customWidth="1"/>
    <col min="6" max="6" width="15.453125" style="708" customWidth="1"/>
    <col min="7" max="7" width="12.36328125" style="708" customWidth="1"/>
    <col min="8" max="8" width="12.453125" style="708" customWidth="1"/>
    <col min="9" max="9" width="11.6328125" style="708" customWidth="1"/>
    <col min="10" max="10" width="11.6328125" style="708" hidden="1" customWidth="1"/>
    <col min="11" max="12" width="9.1796875" style="708" hidden="1" customWidth="1"/>
    <col min="13" max="13" width="10.453125" style="708" customWidth="1" outlineLevel="1"/>
    <col min="14" max="15" width="9.1796875" style="708" customWidth="1" outlineLevel="1"/>
    <col min="16" max="19" width="9.1796875" style="708" customWidth="1" outlineLevel="2"/>
    <col min="20" max="16384" width="9.1796875" style="708"/>
  </cols>
  <sheetData>
    <row r="1" spans="1:20" x14ac:dyDescent="0.35">
      <c r="A1" s="632" t="s">
        <v>32</v>
      </c>
      <c r="B1" s="600"/>
      <c r="C1" s="600"/>
      <c r="D1" s="600"/>
      <c r="E1" s="652"/>
      <c r="F1" s="600"/>
      <c r="G1" s="652"/>
      <c r="H1" s="652"/>
      <c r="I1" s="602"/>
      <c r="J1"/>
      <c r="K1"/>
      <c r="L1"/>
      <c r="M1"/>
      <c r="N1"/>
      <c r="O1"/>
      <c r="P1"/>
      <c r="Q1"/>
    </row>
    <row r="2" spans="1:20" x14ac:dyDescent="0.35">
      <c r="A2" s="600"/>
      <c r="B2" s="600"/>
      <c r="C2" s="600"/>
      <c r="D2" s="600"/>
      <c r="E2" s="600"/>
      <c r="F2" s="600"/>
      <c r="G2" s="600"/>
      <c r="H2" s="600"/>
      <c r="I2" s="600"/>
      <c r="J2"/>
      <c r="K2"/>
      <c r="L2"/>
      <c r="M2"/>
      <c r="N2"/>
      <c r="O2"/>
      <c r="P2"/>
      <c r="Q2"/>
    </row>
    <row r="3" spans="1:20" x14ac:dyDescent="0.35">
      <c r="A3" s="632" t="s">
        <v>393</v>
      </c>
      <c r="B3" s="600"/>
      <c r="C3" s="600"/>
      <c r="D3" s="600"/>
      <c r="E3" s="600"/>
      <c r="F3" s="600"/>
      <c r="G3" s="600"/>
      <c r="H3" s="600"/>
      <c r="I3" s="600"/>
      <c r="J3"/>
      <c r="K3"/>
      <c r="L3"/>
      <c r="M3"/>
      <c r="N3"/>
      <c r="O3"/>
      <c r="P3"/>
      <c r="Q3"/>
    </row>
    <row r="4" spans="1:20" x14ac:dyDescent="0.35">
      <c r="A4" s="600"/>
      <c r="B4" s="600"/>
      <c r="C4" s="600"/>
      <c r="D4" s="600"/>
      <c r="E4" s="600"/>
      <c r="F4" s="600"/>
      <c r="G4" s="600"/>
      <c r="H4" s="600"/>
      <c r="I4" s="600"/>
      <c r="J4"/>
      <c r="K4"/>
      <c r="L4"/>
      <c r="M4"/>
      <c r="N4"/>
      <c r="O4"/>
      <c r="P4"/>
      <c r="Q4"/>
    </row>
    <row r="5" spans="1:20" ht="30" customHeight="1" x14ac:dyDescent="0.35">
      <c r="A5" s="653" t="s">
        <v>280</v>
      </c>
      <c r="B5" s="653" t="s">
        <v>453</v>
      </c>
      <c r="C5" s="653" t="s">
        <v>454</v>
      </c>
      <c r="D5" s="653" t="s">
        <v>466</v>
      </c>
      <c r="E5" s="653" t="s">
        <v>0</v>
      </c>
      <c r="F5" s="654" t="s">
        <v>467</v>
      </c>
      <c r="G5" s="653" t="s">
        <v>468</v>
      </c>
      <c r="H5" s="653" t="s">
        <v>469</v>
      </c>
      <c r="I5" s="653" t="s">
        <v>470</v>
      </c>
      <c r="J5"/>
      <c r="K5"/>
      <c r="L5"/>
      <c r="M5" s="721" t="s">
        <v>506</v>
      </c>
      <c r="N5" s="721" t="s">
        <v>507</v>
      </c>
      <c r="O5" s="721" t="s">
        <v>508</v>
      </c>
      <c r="P5"/>
      <c r="Q5"/>
    </row>
    <row r="6" spans="1:20" x14ac:dyDescent="0.35">
      <c r="A6" s="655" t="s">
        <v>278</v>
      </c>
      <c r="B6" s="597"/>
      <c r="C6" s="597"/>
      <c r="D6" s="597"/>
      <c r="E6" s="597"/>
      <c r="F6" s="597"/>
      <c r="G6" s="597"/>
      <c r="H6" s="597"/>
      <c r="I6" s="597"/>
      <c r="J6"/>
      <c r="K6"/>
      <c r="L6"/>
      <c r="M6" s="485"/>
      <c r="N6" s="485"/>
      <c r="O6" s="485"/>
      <c r="P6"/>
      <c r="Q6"/>
    </row>
    <row r="7" spans="1:20" x14ac:dyDescent="0.35">
      <c r="A7" s="626" t="str">
        <f>Ruumid!A5</f>
        <v>1 korrus</v>
      </c>
      <c r="B7" s="628">
        <f>Ruumid!C5</f>
        <v>292.5</v>
      </c>
      <c r="C7" s="628">
        <f>Ruumid!D5</f>
        <v>292.5</v>
      </c>
      <c r="D7" s="656"/>
      <c r="E7" s="656"/>
      <c r="F7" s="656"/>
      <c r="G7" s="657"/>
      <c r="H7" s="657"/>
      <c r="I7" s="657"/>
      <c r="J7"/>
      <c r="K7"/>
      <c r="L7"/>
      <c r="M7" s="485"/>
      <c r="N7" s="485"/>
      <c r="O7" s="485"/>
      <c r="P7"/>
      <c r="Q7"/>
      <c r="T7" s="725"/>
    </row>
    <row r="8" spans="1:20" x14ac:dyDescent="0.35">
      <c r="A8" s="597" t="str">
        <f>Ruumid!A6</f>
        <v>Kohvik</v>
      </c>
      <c r="B8" s="597">
        <f>Ruumid!C6</f>
        <v>132.5</v>
      </c>
      <c r="C8" s="597">
        <f>Ruumid!D6</f>
        <v>132.5</v>
      </c>
      <c r="D8" s="642" t="s">
        <v>471</v>
      </c>
      <c r="E8" s="597">
        <v>5</v>
      </c>
      <c r="F8" s="658">
        <v>1</v>
      </c>
      <c r="G8" s="612">
        <f>C8*E8*F8</f>
        <v>662.5</v>
      </c>
      <c r="H8" s="612">
        <f>G8*12</f>
        <v>7950</v>
      </c>
      <c r="I8" s="613">
        <f>H8/$H$33</f>
        <v>8.8043084630999802E-2</v>
      </c>
      <c r="J8"/>
      <c r="K8" t="s">
        <v>268</v>
      </c>
      <c r="L8"/>
      <c r="M8" s="485">
        <f>B8</f>
        <v>132.5</v>
      </c>
      <c r="N8" s="485">
        <f>B8*F8</f>
        <v>132.5</v>
      </c>
      <c r="O8" s="485">
        <f>M8-N8</f>
        <v>0</v>
      </c>
      <c r="P8"/>
      <c r="Q8"/>
      <c r="T8" s="725"/>
    </row>
    <row r="9" spans="1:20" hidden="1" x14ac:dyDescent="0.35">
      <c r="A9" s="597" t="str">
        <f>Ruumid!A7</f>
        <v>Seminariruumid</v>
      </c>
      <c r="B9" s="597">
        <f>Ruumid!C7</f>
        <v>72.7</v>
      </c>
      <c r="C9" s="597">
        <f>Ruumid!D7</f>
        <v>72.7</v>
      </c>
      <c r="D9" s="642" t="s">
        <v>281</v>
      </c>
      <c r="E9" s="597">
        <v>240</v>
      </c>
      <c r="F9" s="707"/>
      <c r="G9" s="612">
        <f>21*E9*F9</f>
        <v>0</v>
      </c>
      <c r="H9" s="612">
        <f>G9*12</f>
        <v>0</v>
      </c>
      <c r="I9" s="613">
        <f>H9/$H$33</f>
        <v>0</v>
      </c>
      <c r="J9"/>
      <c r="K9" t="s">
        <v>270</v>
      </c>
      <c r="L9"/>
      <c r="M9" s="485">
        <f>B9</f>
        <v>72.7</v>
      </c>
      <c r="N9" s="485">
        <f>B9*F9</f>
        <v>0</v>
      </c>
      <c r="O9" s="485">
        <f>M9-N9</f>
        <v>72.7</v>
      </c>
      <c r="P9"/>
      <c r="Q9"/>
    </row>
    <row r="10" spans="1:20" x14ac:dyDescent="0.35">
      <c r="A10" s="626" t="str">
        <f>Ruumid!A10</f>
        <v>2 korrus</v>
      </c>
      <c r="B10" s="628">
        <f>Ruumid!C10</f>
        <v>300.2</v>
      </c>
      <c r="C10" s="628">
        <f>Ruumid!D10</f>
        <v>300.2</v>
      </c>
      <c r="D10" s="656"/>
      <c r="E10" s="656"/>
      <c r="F10" s="656"/>
      <c r="G10" s="657"/>
      <c r="H10" s="657"/>
      <c r="I10" s="657"/>
      <c r="J10"/>
      <c r="K10"/>
      <c r="L10"/>
      <c r="M10" s="485"/>
      <c r="N10" s="485"/>
      <c r="O10" s="485"/>
      <c r="P10"/>
      <c r="Q10"/>
      <c r="T10" s="725"/>
    </row>
    <row r="11" spans="1:20" x14ac:dyDescent="0.35">
      <c r="A11" s="597" t="str">
        <f>Ruumid!A11</f>
        <v>Üüriruumid</v>
      </c>
      <c r="B11" s="597">
        <f>Ruumid!C11</f>
        <v>273.39999999999998</v>
      </c>
      <c r="C11" s="597">
        <f>Ruumid!D11</f>
        <v>273.39999999999998</v>
      </c>
      <c r="D11" s="642" t="s">
        <v>471</v>
      </c>
      <c r="E11" s="597">
        <v>7</v>
      </c>
      <c r="F11" s="658">
        <v>1</v>
      </c>
      <c r="G11" s="612">
        <f>C11*E11*F11</f>
        <v>1913.7999999999997</v>
      </c>
      <c r="H11" s="612">
        <f>G11*12</f>
        <v>22965.599999999999</v>
      </c>
      <c r="I11" s="613">
        <f>H11/$H$33</f>
        <v>0.25433487602536969</v>
      </c>
      <c r="J11"/>
      <c r="K11" t="s">
        <v>268</v>
      </c>
      <c r="L11"/>
      <c r="M11" s="485">
        <f>B11</f>
        <v>273.39999999999998</v>
      </c>
      <c r="N11" s="485">
        <f>B11*F11</f>
        <v>273.39999999999998</v>
      </c>
      <c r="O11" s="485">
        <f>M11-N11</f>
        <v>0</v>
      </c>
      <c r="P11"/>
      <c r="Q11"/>
      <c r="T11" s="725"/>
    </row>
    <row r="12" spans="1:20" x14ac:dyDescent="0.35">
      <c r="A12" s="626" t="str">
        <f>Ruumid!A14</f>
        <v>3 korrus</v>
      </c>
      <c r="B12" s="628">
        <f>Ruumid!C14</f>
        <v>304.20000000000005</v>
      </c>
      <c r="C12" s="628">
        <f>Ruumid!D14</f>
        <v>304.2</v>
      </c>
      <c r="D12" s="656"/>
      <c r="E12" s="656"/>
      <c r="F12" s="656"/>
      <c r="G12" s="657"/>
      <c r="H12" s="657"/>
      <c r="I12" s="657"/>
      <c r="J12"/>
      <c r="K12"/>
      <c r="L12"/>
      <c r="M12" s="485"/>
      <c r="N12" s="485"/>
      <c r="O12" s="485"/>
      <c r="P12"/>
      <c r="Q12"/>
      <c r="T12" s="725"/>
    </row>
    <row r="13" spans="1:20" x14ac:dyDescent="0.35">
      <c r="A13" s="597" t="str">
        <f>Ruumid!A15</f>
        <v>Üürikabinetid</v>
      </c>
      <c r="B13" s="597">
        <f>Ruumid!C15</f>
        <v>105.6</v>
      </c>
      <c r="C13" s="597">
        <f>Ruumid!D15</f>
        <v>105.6</v>
      </c>
      <c r="D13" s="642" t="s">
        <v>471</v>
      </c>
      <c r="E13" s="597">
        <v>15</v>
      </c>
      <c r="F13" s="658">
        <v>0.25</v>
      </c>
      <c r="G13" s="612">
        <f>C13*E13*F13</f>
        <v>396</v>
      </c>
      <c r="H13" s="612">
        <f t="shared" ref="H13:H14" si="0">G13*12</f>
        <v>4752</v>
      </c>
      <c r="I13" s="613">
        <f t="shared" ref="I13:I14" si="1">H13/$H$33</f>
        <v>5.2626507945473092E-2</v>
      </c>
      <c r="J13"/>
      <c r="K13" t="s">
        <v>270</v>
      </c>
      <c r="L13"/>
      <c r="M13" s="485">
        <f t="shared" ref="M13:M14" si="2">B13</f>
        <v>105.6</v>
      </c>
      <c r="N13" s="485">
        <f t="shared" ref="N13:N14" si="3">B13*F13</f>
        <v>26.4</v>
      </c>
      <c r="O13" s="485">
        <f t="shared" ref="O13:O14" si="4">M13-N13</f>
        <v>79.199999999999989</v>
      </c>
      <c r="P13"/>
      <c r="Q13"/>
      <c r="T13" s="725"/>
    </row>
    <row r="14" spans="1:20" x14ac:dyDescent="0.35">
      <c r="A14" s="597" t="str">
        <f>Ruumid!A18</f>
        <v>Open Office (12 kohta)</v>
      </c>
      <c r="B14" s="597">
        <f>Ruumid!C18</f>
        <v>35.6</v>
      </c>
      <c r="C14" s="597">
        <f>Ruumid!D18</f>
        <v>35.6</v>
      </c>
      <c r="D14" s="597" t="s">
        <v>472</v>
      </c>
      <c r="E14" s="597">
        <v>15</v>
      </c>
      <c r="F14" s="658">
        <v>0.25</v>
      </c>
      <c r="G14" s="612">
        <f>21*E14*F14*12</f>
        <v>945</v>
      </c>
      <c r="H14" s="612">
        <f t="shared" si="0"/>
        <v>11340</v>
      </c>
      <c r="I14" s="613">
        <f t="shared" si="1"/>
        <v>0.12558598486987896</v>
      </c>
      <c r="J14"/>
      <c r="K14" t="s">
        <v>270</v>
      </c>
      <c r="L14"/>
      <c r="M14" s="485">
        <f t="shared" si="2"/>
        <v>35.6</v>
      </c>
      <c r="N14" s="485">
        <f t="shared" si="3"/>
        <v>8.9</v>
      </c>
      <c r="O14" s="485">
        <f t="shared" si="4"/>
        <v>26.700000000000003</v>
      </c>
      <c r="P14"/>
      <c r="Q14">
        <v>12</v>
      </c>
      <c r="R14" s="708">
        <f>Q14*F14</f>
        <v>3</v>
      </c>
      <c r="S14" s="708">
        <f>Q14-R14</f>
        <v>9</v>
      </c>
      <c r="T14" s="725"/>
    </row>
    <row r="15" spans="1:20" x14ac:dyDescent="0.35">
      <c r="A15" s="626" t="str">
        <f>Ruumid!A19</f>
        <v>4 korrus</v>
      </c>
      <c r="B15" s="628">
        <f>Ruumid!C19</f>
        <v>307.8</v>
      </c>
      <c r="C15" s="628">
        <f>Ruumid!D19</f>
        <v>307.8</v>
      </c>
      <c r="D15" s="656"/>
      <c r="E15" s="656"/>
      <c r="F15" s="656"/>
      <c r="G15" s="657"/>
      <c r="H15" s="657"/>
      <c r="I15" s="657"/>
      <c r="J15"/>
      <c r="K15"/>
      <c r="L15"/>
      <c r="M15" s="485"/>
      <c r="N15" s="485"/>
      <c r="O15" s="485"/>
      <c r="P15"/>
      <c r="Q15"/>
      <c r="T15" s="725"/>
    </row>
    <row r="16" spans="1:20" x14ac:dyDescent="0.35">
      <c r="A16" s="597" t="str">
        <f>Ruumid!A20</f>
        <v>Üüriruumid</v>
      </c>
      <c r="B16" s="597">
        <f>Ruumid!C20</f>
        <v>265.60000000000002</v>
      </c>
      <c r="C16" s="597">
        <f>Ruumid!D20</f>
        <v>265.60000000000002</v>
      </c>
      <c r="D16" s="642" t="s">
        <v>471</v>
      </c>
      <c r="E16" s="597">
        <v>7</v>
      </c>
      <c r="F16" s="658">
        <v>1</v>
      </c>
      <c r="G16" s="612">
        <f t="shared" ref="G16:G20" si="5">C16*E16*F16</f>
        <v>1859.2000000000003</v>
      </c>
      <c r="H16" s="612">
        <f t="shared" ref="H16:H17" si="6">G16*12</f>
        <v>22310.400000000001</v>
      </c>
      <c r="I16" s="613">
        <f t="shared" ref="I16:I17" si="7">H16/$H$33</f>
        <v>0.2470787968995545</v>
      </c>
      <c r="J16"/>
      <c r="K16" t="s">
        <v>268</v>
      </c>
      <c r="L16"/>
      <c r="M16" s="485">
        <f t="shared" ref="M16:M17" si="8">B16</f>
        <v>265.60000000000002</v>
      </c>
      <c r="N16" s="485">
        <f>B16*F16</f>
        <v>265.60000000000002</v>
      </c>
      <c r="O16" s="485">
        <f t="shared" ref="O16:O17" si="9">M16-N16</f>
        <v>0</v>
      </c>
      <c r="P16"/>
      <c r="Q16"/>
      <c r="T16" s="725"/>
    </row>
    <row r="17" spans="1:20" x14ac:dyDescent="0.35">
      <c r="A17" s="597" t="str">
        <f>Ruumid!A21</f>
        <v>Üürikabinet</v>
      </c>
      <c r="B17" s="597">
        <f>Ruumid!C21</f>
        <v>15.8</v>
      </c>
      <c r="C17" s="597">
        <f>Ruumid!D21</f>
        <v>15.8</v>
      </c>
      <c r="D17" s="642" t="s">
        <v>471</v>
      </c>
      <c r="E17" s="597">
        <v>7</v>
      </c>
      <c r="F17" s="658">
        <v>1</v>
      </c>
      <c r="G17" s="612">
        <f t="shared" si="5"/>
        <v>110.60000000000001</v>
      </c>
      <c r="H17" s="612">
        <f t="shared" si="6"/>
        <v>1327.2</v>
      </c>
      <c r="I17" s="613">
        <f t="shared" si="7"/>
        <v>1.4698211562548798E-2</v>
      </c>
      <c r="J17"/>
      <c r="K17" t="s">
        <v>268</v>
      </c>
      <c r="L17"/>
      <c r="M17" s="485">
        <f t="shared" si="8"/>
        <v>15.8</v>
      </c>
      <c r="N17" s="485">
        <f>B17*F17</f>
        <v>15.8</v>
      </c>
      <c r="O17" s="485">
        <f t="shared" si="9"/>
        <v>0</v>
      </c>
      <c r="P17"/>
      <c r="Q17"/>
      <c r="T17" s="725"/>
    </row>
    <row r="18" spans="1:20" x14ac:dyDescent="0.35">
      <c r="A18" s="626" t="str">
        <f>Ruumid!A24</f>
        <v>5 korrus</v>
      </c>
      <c r="B18" s="628">
        <f>Ruumid!C24</f>
        <v>301.7</v>
      </c>
      <c r="C18" s="628">
        <f>Ruumid!D24</f>
        <v>301.7</v>
      </c>
      <c r="D18" s="656"/>
      <c r="E18" s="656"/>
      <c r="F18" s="656"/>
      <c r="G18" s="657"/>
      <c r="H18" s="657"/>
      <c r="I18" s="657"/>
      <c r="J18"/>
      <c r="K18"/>
      <c r="L18"/>
      <c r="M18" s="485"/>
      <c r="N18" s="485"/>
      <c r="O18" s="485"/>
      <c r="P18"/>
      <c r="Q18"/>
    </row>
    <row r="19" spans="1:20" x14ac:dyDescent="0.35">
      <c r="A19" s="597" t="str">
        <f>Ruumid!A25</f>
        <v>Üürituba</v>
      </c>
      <c r="B19" s="597">
        <f>Ruumid!C25</f>
        <v>111.9</v>
      </c>
      <c r="C19" s="597">
        <f>Ruumid!D25</f>
        <v>111.9</v>
      </c>
      <c r="D19" s="642" t="s">
        <v>471</v>
      </c>
      <c r="E19" s="597">
        <v>55</v>
      </c>
      <c r="F19" s="659">
        <v>0.25</v>
      </c>
      <c r="G19" s="612">
        <f t="shared" si="5"/>
        <v>1538.625</v>
      </c>
      <c r="H19" s="612">
        <f>G19*12</f>
        <v>18463.5</v>
      </c>
      <c r="I19" s="613">
        <f t="shared" ref="I19:I20" si="10">H19/$H$33</f>
        <v>0.20447591107980692</v>
      </c>
      <c r="J19" s="489"/>
      <c r="K19" t="s">
        <v>268</v>
      </c>
      <c r="L19"/>
      <c r="M19" s="485">
        <f t="shared" ref="M19:M20" si="11">B19</f>
        <v>111.9</v>
      </c>
      <c r="N19" s="485">
        <f>B19*F19</f>
        <v>27.975000000000001</v>
      </c>
      <c r="O19" s="485">
        <f t="shared" ref="O19:O20" si="12">M19-N19</f>
        <v>83.925000000000011</v>
      </c>
      <c r="P19"/>
      <c r="Q19"/>
      <c r="T19" s="725"/>
    </row>
    <row r="20" spans="1:20" x14ac:dyDescent="0.35">
      <c r="A20" s="597" t="str">
        <f>Ruumid!A27</f>
        <v>Üüriruumid</v>
      </c>
      <c r="B20" s="597">
        <f>Ruumid!C27</f>
        <v>26.4</v>
      </c>
      <c r="C20" s="597">
        <f>Ruumid!D27</f>
        <v>26.4</v>
      </c>
      <c r="D20" s="642" t="s">
        <v>471</v>
      </c>
      <c r="E20" s="597">
        <v>15</v>
      </c>
      <c r="F20" s="659">
        <v>0.25</v>
      </c>
      <c r="G20" s="612">
        <f t="shared" si="5"/>
        <v>99</v>
      </c>
      <c r="H20" s="612">
        <f>G20*12</f>
        <v>1188</v>
      </c>
      <c r="I20" s="613">
        <f t="shared" si="10"/>
        <v>1.3156626986368273E-2</v>
      </c>
      <c r="J20"/>
      <c r="K20" t="s">
        <v>268</v>
      </c>
      <c r="L20"/>
      <c r="M20" s="485">
        <f t="shared" si="11"/>
        <v>26.4</v>
      </c>
      <c r="N20" s="485">
        <f>B20*F20</f>
        <v>6.6</v>
      </c>
      <c r="O20" s="485">
        <f t="shared" si="12"/>
        <v>19.799999999999997</v>
      </c>
      <c r="P20"/>
      <c r="Q20"/>
      <c r="T20" s="725"/>
    </row>
    <row r="21" spans="1:20" x14ac:dyDescent="0.35">
      <c r="A21" s="626"/>
      <c r="B21" s="626"/>
      <c r="C21" s="628"/>
      <c r="D21" s="656"/>
      <c r="E21" s="656"/>
      <c r="F21" s="656"/>
      <c r="G21" s="657"/>
      <c r="H21" s="657"/>
      <c r="I21" s="657"/>
      <c r="J21"/>
      <c r="K21"/>
      <c r="L21"/>
      <c r="M21" s="485"/>
      <c r="N21" s="485"/>
      <c r="O21" s="485"/>
      <c r="P21"/>
      <c r="Q21"/>
    </row>
    <row r="22" spans="1:20" hidden="1" x14ac:dyDescent="0.35">
      <c r="A22" s="597"/>
      <c r="B22" s="597"/>
      <c r="C22" s="597"/>
      <c r="D22" s="642"/>
      <c r="E22" s="597"/>
      <c r="F22" s="658"/>
      <c r="G22" s="612"/>
      <c r="H22" s="612"/>
      <c r="I22" s="613"/>
      <c r="J22"/>
      <c r="K22"/>
      <c r="L22"/>
      <c r="M22" s="485"/>
      <c r="N22" s="485"/>
      <c r="O22" s="485"/>
      <c r="P22"/>
      <c r="Q22"/>
    </row>
    <row r="23" spans="1:20" hidden="1" x14ac:dyDescent="0.35">
      <c r="A23" s="597"/>
      <c r="B23" s="597"/>
      <c r="C23" s="597"/>
      <c r="D23" s="642"/>
      <c r="E23" s="597"/>
      <c r="F23" s="660"/>
      <c r="G23" s="612"/>
      <c r="H23" s="612"/>
      <c r="I23" s="612"/>
      <c r="J23"/>
      <c r="K23"/>
      <c r="L23"/>
      <c r="P23"/>
      <c r="Q23"/>
    </row>
    <row r="24" spans="1:20" ht="15" hidden="1" customHeight="1" x14ac:dyDescent="0.35">
      <c r="B24" s="645"/>
      <c r="C24" s="645"/>
      <c r="D24" s="645"/>
      <c r="E24" s="645"/>
      <c r="F24" s="661"/>
      <c r="G24" s="662"/>
      <c r="H24" s="662"/>
      <c r="I24" s="662"/>
      <c r="J24"/>
      <c r="K24"/>
      <c r="L24"/>
      <c r="M24" s="485"/>
      <c r="N24" s="485"/>
      <c r="O24" s="485"/>
      <c r="P24"/>
      <c r="Q24"/>
    </row>
    <row r="25" spans="1:20" hidden="1" x14ac:dyDescent="0.35">
      <c r="A25" s="655"/>
      <c r="B25" s="597"/>
      <c r="C25" s="597"/>
      <c r="D25" s="597"/>
      <c r="E25" s="597"/>
      <c r="F25" s="597"/>
      <c r="G25" s="612"/>
      <c r="H25" s="612"/>
      <c r="I25" s="612"/>
      <c r="J25"/>
      <c r="K25"/>
      <c r="L25"/>
      <c r="M25" s="485"/>
      <c r="N25" s="485"/>
      <c r="O25" s="485"/>
      <c r="P25"/>
      <c r="Q25"/>
    </row>
    <row r="26" spans="1:20" hidden="1" x14ac:dyDescent="0.35">
      <c r="A26" s="626"/>
      <c r="B26" s="628"/>
      <c r="C26" s="628"/>
      <c r="D26" s="628"/>
      <c r="E26" s="656"/>
      <c r="F26" s="656"/>
      <c r="G26" s="657"/>
      <c r="H26" s="657"/>
      <c r="I26" s="657"/>
      <c r="J26"/>
      <c r="K26"/>
      <c r="L26"/>
      <c r="M26" s="485"/>
      <c r="N26" s="485"/>
      <c r="O26" s="485"/>
      <c r="P26"/>
      <c r="Q26"/>
    </row>
    <row r="27" spans="1:20" hidden="1" x14ac:dyDescent="0.35">
      <c r="A27" s="597"/>
      <c r="B27" s="597"/>
      <c r="C27" s="597"/>
      <c r="D27" s="597"/>
      <c r="E27" s="597"/>
      <c r="F27" s="659"/>
      <c r="G27" s="612"/>
      <c r="H27" s="612"/>
      <c r="I27" s="613"/>
      <c r="J27"/>
      <c r="K27" t="s">
        <v>268</v>
      </c>
      <c r="L27"/>
      <c r="M27" s="485">
        <f t="shared" ref="M27:M29" si="13">B27</f>
        <v>0</v>
      </c>
      <c r="N27" s="485">
        <f>B27*F27</f>
        <v>0</v>
      </c>
      <c r="O27" s="485">
        <f t="shared" ref="O27:O29" si="14">M27-N27</f>
        <v>0</v>
      </c>
      <c r="P27"/>
      <c r="Q27"/>
    </row>
    <row r="28" spans="1:20" hidden="1" x14ac:dyDescent="0.35">
      <c r="A28" s="597"/>
      <c r="B28" s="597"/>
      <c r="C28" s="597"/>
      <c r="D28" s="597"/>
      <c r="E28" s="597"/>
      <c r="F28" s="659"/>
      <c r="G28" s="612"/>
      <c r="H28" s="612"/>
      <c r="I28" s="613"/>
      <c r="J28"/>
      <c r="K28" t="s">
        <v>268</v>
      </c>
      <c r="L28"/>
      <c r="M28" s="485">
        <f t="shared" si="13"/>
        <v>0</v>
      </c>
      <c r="N28" s="485">
        <f>B28*F28</f>
        <v>0</v>
      </c>
      <c r="O28" s="485">
        <f t="shared" si="14"/>
        <v>0</v>
      </c>
      <c r="P28"/>
      <c r="Q28"/>
    </row>
    <row r="29" spans="1:20" hidden="1" x14ac:dyDescent="0.35">
      <c r="A29" s="597"/>
      <c r="B29" s="597"/>
      <c r="C29" s="597"/>
      <c r="D29" s="597"/>
      <c r="E29" s="597"/>
      <c r="F29" s="658"/>
      <c r="G29" s="612"/>
      <c r="H29" s="612"/>
      <c r="I29" s="613"/>
      <c r="J29"/>
      <c r="K29" t="s">
        <v>268</v>
      </c>
      <c r="L29"/>
      <c r="M29" s="485">
        <f t="shared" si="13"/>
        <v>0</v>
      </c>
      <c r="N29" s="485">
        <f>B29*F29</f>
        <v>0</v>
      </c>
      <c r="O29" s="485">
        <f t="shared" si="14"/>
        <v>0</v>
      </c>
      <c r="P29"/>
      <c r="Q29"/>
    </row>
    <row r="30" spans="1:20" hidden="1" x14ac:dyDescent="0.35">
      <c r="A30" s="626"/>
      <c r="B30" s="628"/>
      <c r="C30" s="628"/>
      <c r="D30" s="628"/>
      <c r="E30" s="656"/>
      <c r="F30" s="656"/>
      <c r="G30" s="657"/>
      <c r="H30" s="657"/>
      <c r="I30" s="657"/>
      <c r="J30"/>
      <c r="K30"/>
      <c r="L30"/>
      <c r="M30" s="485"/>
      <c r="N30" s="485"/>
      <c r="O30" s="485"/>
      <c r="P30"/>
      <c r="Q30"/>
    </row>
    <row r="31" spans="1:20" hidden="1" x14ac:dyDescent="0.35">
      <c r="A31" s="637"/>
      <c r="B31" s="597"/>
      <c r="C31" s="597"/>
      <c r="D31" s="597"/>
      <c r="E31" s="597"/>
      <c r="F31" s="658"/>
      <c r="G31" s="612"/>
      <c r="H31" s="612"/>
      <c r="I31" s="613"/>
      <c r="J31"/>
      <c r="K31" t="s">
        <v>268</v>
      </c>
      <c r="L31"/>
      <c r="M31" s="485">
        <f>B31</f>
        <v>0</v>
      </c>
      <c r="N31" s="485">
        <f>B31*F31</f>
        <v>0</v>
      </c>
      <c r="O31" s="485">
        <f>M31-N31</f>
        <v>0</v>
      </c>
      <c r="P31"/>
      <c r="Q31"/>
    </row>
    <row r="32" spans="1:20" x14ac:dyDescent="0.35">
      <c r="A32" s="597"/>
      <c r="B32" s="597"/>
      <c r="C32" s="597"/>
      <c r="D32" s="597"/>
      <c r="E32" s="597"/>
      <c r="F32" s="597"/>
      <c r="G32" s="612"/>
      <c r="H32" s="612"/>
      <c r="I32" s="612"/>
      <c r="J32"/>
      <c r="K32"/>
      <c r="L32"/>
      <c r="M32" s="485"/>
      <c r="N32" s="485"/>
      <c r="O32" s="485"/>
      <c r="P32"/>
      <c r="Q32"/>
    </row>
    <row r="33" spans="1:17" x14ac:dyDescent="0.35">
      <c r="A33" s="663" t="s">
        <v>462</v>
      </c>
      <c r="B33" s="597"/>
      <c r="C33" s="597"/>
      <c r="D33" s="597"/>
      <c r="E33" s="597"/>
      <c r="F33" s="597"/>
      <c r="G33" s="664">
        <f>SUM(G7:G32)</f>
        <v>7524.7250000000004</v>
      </c>
      <c r="H33" s="664">
        <f>SUM(H7:H32)</f>
        <v>90296.7</v>
      </c>
      <c r="I33" s="664"/>
      <c r="J33"/>
      <c r="K33"/>
      <c r="L33"/>
      <c r="M33" s="497">
        <f>SUM(M6:M22)</f>
        <v>1039.5</v>
      </c>
      <c r="N33" s="497">
        <f>SUM(N6:N22)</f>
        <v>757.17499999999995</v>
      </c>
      <c r="O33" s="497">
        <f>SUM(O6:O22)</f>
        <v>282.32499999999999</v>
      </c>
      <c r="P33"/>
      <c r="Q33"/>
    </row>
    <row r="34" spans="1:17" x14ac:dyDescent="0.35">
      <c r="A34" s="600"/>
      <c r="B34" s="600"/>
      <c r="C34" s="600"/>
      <c r="D34" s="600"/>
      <c r="E34" s="600"/>
      <c r="F34" s="600"/>
      <c r="G34" s="600"/>
      <c r="H34" s="600"/>
      <c r="I34" s="600"/>
      <c r="J34"/>
      <c r="K34"/>
      <c r="L34"/>
      <c r="M34" s="600"/>
      <c r="N34" s="720">
        <f>N33/M33</f>
        <v>0.72840307840307839</v>
      </c>
      <c r="O34" s="719">
        <f>O33/M33</f>
        <v>0.27159692159692156</v>
      </c>
      <c r="P34"/>
      <c r="Q34"/>
    </row>
    <row r="35" spans="1:17" x14ac:dyDescent="0.35">
      <c r="A35" s="632" t="s">
        <v>394</v>
      </c>
      <c r="B35" s="600"/>
      <c r="C35" s="600"/>
      <c r="D35" s="600"/>
      <c r="E35" s="600"/>
      <c r="F35" s="600"/>
      <c r="G35" s="600"/>
      <c r="H35" s="600"/>
      <c r="I35" s="600"/>
      <c r="J35"/>
      <c r="K35"/>
      <c r="L35"/>
      <c r="M35"/>
      <c r="N35"/>
      <c r="O35"/>
      <c r="P35"/>
      <c r="Q35"/>
    </row>
    <row r="36" spans="1:17" x14ac:dyDescent="0.35">
      <c r="A36" s="600"/>
      <c r="B36" s="600"/>
      <c r="C36" s="600"/>
      <c r="D36" s="600"/>
      <c r="E36" s="600"/>
      <c r="F36" s="600"/>
      <c r="G36" s="600"/>
      <c r="H36" s="600"/>
      <c r="I36" s="600"/>
      <c r="J36"/>
      <c r="K36"/>
      <c r="L36"/>
      <c r="M36"/>
      <c r="N36"/>
      <c r="O36"/>
      <c r="P36"/>
      <c r="Q36"/>
    </row>
    <row r="37" spans="1:17" x14ac:dyDescent="0.35">
      <c r="A37" s="600"/>
      <c r="B37" s="600"/>
      <c r="C37" s="600"/>
      <c r="D37" s="600"/>
      <c r="E37" s="600"/>
      <c r="F37" s="600"/>
      <c r="G37" s="600"/>
      <c r="H37" s="600"/>
      <c r="I37" s="600"/>
      <c r="J37"/>
      <c r="K37"/>
      <c r="L37"/>
      <c r="M37"/>
      <c r="N37"/>
      <c r="O37"/>
      <c r="P37"/>
      <c r="Q37"/>
    </row>
    <row r="38" spans="1:17" ht="29" x14ac:dyDescent="0.35">
      <c r="A38" s="665"/>
      <c r="B38" s="665"/>
      <c r="C38" s="665"/>
      <c r="D38" s="665"/>
      <c r="E38" s="665"/>
      <c r="F38" s="665"/>
      <c r="G38" s="666" t="s">
        <v>473</v>
      </c>
      <c r="H38" s="666" t="s">
        <v>474</v>
      </c>
      <c r="I38" s="666" t="s">
        <v>282</v>
      </c>
      <c r="J38" s="495"/>
      <c r="K38"/>
      <c r="L38"/>
      <c r="M38"/>
      <c r="N38"/>
      <c r="O38"/>
      <c r="P38"/>
      <c r="Q38"/>
    </row>
    <row r="39" spans="1:17" x14ac:dyDescent="0.35">
      <c r="A39" s="597" t="s">
        <v>286</v>
      </c>
      <c r="B39" s="597"/>
      <c r="C39" s="597"/>
      <c r="D39" s="597"/>
      <c r="E39" s="597"/>
      <c r="F39" s="597"/>
      <c r="G39" s="612">
        <f>H39/12</f>
        <v>253.29450209979316</v>
      </c>
      <c r="H39" s="612">
        <f>Kulud25!F5</f>
        <v>3039.5340251975181</v>
      </c>
      <c r="I39" s="613">
        <f>H39/$H$47</f>
        <v>0.15182356572042513</v>
      </c>
      <c r="J39" s="496"/>
      <c r="K39"/>
      <c r="L39"/>
      <c r="M39"/>
      <c r="N39"/>
      <c r="O39"/>
      <c r="P39"/>
      <c r="Q39"/>
    </row>
    <row r="40" spans="1:17" x14ac:dyDescent="0.35">
      <c r="A40" s="597" t="s">
        <v>463</v>
      </c>
      <c r="B40" s="597"/>
      <c r="C40" s="597"/>
      <c r="D40" s="597"/>
      <c r="E40" s="597"/>
      <c r="F40" s="597"/>
      <c r="G40" s="612">
        <f t="shared" ref="G40:G45" si="15">H40/12</f>
        <v>50.085147233319162</v>
      </c>
      <c r="H40" s="612">
        <f>Kulud25!F14</f>
        <v>601.02176679982995</v>
      </c>
      <c r="I40" s="613">
        <f t="shared" ref="I40:I45" si="16">H40/$H$47</f>
        <v>3.0020808108970044E-2</v>
      </c>
      <c r="J40" s="496"/>
      <c r="K40"/>
      <c r="L40"/>
      <c r="M40"/>
      <c r="N40"/>
      <c r="O40"/>
      <c r="P40"/>
      <c r="Q40"/>
    </row>
    <row r="41" spans="1:17" x14ac:dyDescent="0.35">
      <c r="A41" s="597" t="s">
        <v>397</v>
      </c>
      <c r="B41" s="597"/>
      <c r="C41" s="597"/>
      <c r="D41" s="597"/>
      <c r="E41" s="597"/>
      <c r="F41" s="597"/>
      <c r="G41" s="612">
        <f t="shared" si="15"/>
        <v>142.85824611986826</v>
      </c>
      <c r="H41" s="612">
        <f>Kulud25!F20</f>
        <v>1714.2989534384192</v>
      </c>
      <c r="I41" s="613">
        <f t="shared" si="16"/>
        <v>8.5628579138837133E-2</v>
      </c>
      <c r="J41" s="496"/>
      <c r="K41"/>
      <c r="L41"/>
      <c r="M41"/>
      <c r="N41"/>
      <c r="O41"/>
      <c r="P41"/>
      <c r="Q41"/>
    </row>
    <row r="42" spans="1:17" x14ac:dyDescent="0.35">
      <c r="A42" s="597" t="s">
        <v>464</v>
      </c>
      <c r="B42" s="597"/>
      <c r="C42" s="597"/>
      <c r="D42" s="597"/>
      <c r="E42" s="597"/>
      <c r="F42" s="597"/>
      <c r="G42" s="612">
        <f t="shared" si="15"/>
        <v>489.12282192945173</v>
      </c>
      <c r="H42" s="612">
        <f>Kulud25!F43</f>
        <v>5869.473863153421</v>
      </c>
      <c r="I42" s="613">
        <f t="shared" si="16"/>
        <v>0.29317798169700798</v>
      </c>
      <c r="J42" s="496"/>
      <c r="K42"/>
      <c r="L42"/>
      <c r="M42"/>
      <c r="N42"/>
      <c r="O42"/>
      <c r="P42"/>
      <c r="Q42"/>
    </row>
    <row r="43" spans="1:17" x14ac:dyDescent="0.35">
      <c r="A43" s="597" t="s">
        <v>402</v>
      </c>
      <c r="B43" s="597"/>
      <c r="C43" s="597"/>
      <c r="D43" s="597"/>
      <c r="E43" s="597"/>
      <c r="F43" s="597"/>
      <c r="G43" s="612">
        <f t="shared" si="15"/>
        <v>346.83742208528116</v>
      </c>
      <c r="H43" s="612">
        <f>Kulud25!F48</f>
        <v>4162.0490650233742</v>
      </c>
      <c r="I43" s="613">
        <f t="shared" si="16"/>
        <v>0.20789276399501652</v>
      </c>
      <c r="J43" s="496"/>
      <c r="K43"/>
      <c r="L43"/>
      <c r="M43"/>
      <c r="N43"/>
      <c r="O43"/>
      <c r="P43"/>
      <c r="Q43"/>
    </row>
    <row r="44" spans="1:17" x14ac:dyDescent="0.35">
      <c r="A44" s="597" t="s">
        <v>403</v>
      </c>
      <c r="B44" s="597"/>
      <c r="C44" s="597"/>
      <c r="D44" s="597"/>
      <c r="E44" s="597"/>
      <c r="F44" s="597"/>
      <c r="G44" s="612">
        <f t="shared" si="15"/>
        <v>257.43306417339562</v>
      </c>
      <c r="H44" s="612">
        <f>Kulud25!F54</f>
        <v>3089.1967700807477</v>
      </c>
      <c r="I44" s="613">
        <f t="shared" si="16"/>
        <v>0.1543042008931621</v>
      </c>
      <c r="J44" s="496"/>
      <c r="K44"/>
      <c r="L44"/>
      <c r="M44"/>
      <c r="N44"/>
      <c r="O44"/>
      <c r="P44"/>
      <c r="Q44"/>
    </row>
    <row r="45" spans="1:17" x14ac:dyDescent="0.35">
      <c r="A45" s="612" t="s">
        <v>405</v>
      </c>
      <c r="B45" s="597"/>
      <c r="C45" s="597"/>
      <c r="D45" s="597"/>
      <c r="E45" s="597"/>
      <c r="F45" s="597"/>
      <c r="G45" s="612">
        <f t="shared" si="15"/>
        <v>128.71653208669781</v>
      </c>
      <c r="H45" s="612">
        <f>Kulud25!F56</f>
        <v>1544.5983850403738</v>
      </c>
      <c r="I45" s="613">
        <f t="shared" si="16"/>
        <v>7.7152100446581051E-2</v>
      </c>
      <c r="J45" s="496"/>
      <c r="K45"/>
      <c r="L45"/>
      <c r="M45"/>
      <c r="N45"/>
      <c r="O45"/>
      <c r="P45"/>
      <c r="Q45"/>
    </row>
    <row r="46" spans="1:17" x14ac:dyDescent="0.35">
      <c r="A46" s="597"/>
      <c r="B46" s="597"/>
      <c r="C46" s="597"/>
      <c r="D46" s="597"/>
      <c r="E46" s="597"/>
      <c r="F46" s="597"/>
      <c r="G46" s="612"/>
      <c r="H46" s="612"/>
      <c r="I46" s="613"/>
      <c r="J46" s="496"/>
      <c r="K46"/>
      <c r="L46"/>
      <c r="M46"/>
      <c r="N46"/>
      <c r="O46"/>
      <c r="P46"/>
      <c r="Q46"/>
    </row>
    <row r="47" spans="1:17" x14ac:dyDescent="0.35">
      <c r="A47" s="663" t="s">
        <v>465</v>
      </c>
      <c r="B47" s="597"/>
      <c r="C47" s="597"/>
      <c r="D47" s="597"/>
      <c r="E47" s="597"/>
      <c r="F47" s="597"/>
      <c r="G47" s="664">
        <f>SUM(G39:G46)</f>
        <v>1668.3477357278068</v>
      </c>
      <c r="H47" s="664">
        <f>SUM(H39:H46)</f>
        <v>20020.172828733685</v>
      </c>
      <c r="I47" s="667">
        <f>SUM(I39:I46)</f>
        <v>1</v>
      </c>
      <c r="J47" s="498"/>
      <c r="K47"/>
      <c r="L47"/>
      <c r="M47"/>
      <c r="N47"/>
      <c r="O47"/>
      <c r="P47"/>
      <c r="Q47"/>
    </row>
    <row r="48" spans="1:17" x14ac:dyDescent="0.35">
      <c r="A48"/>
      <c r="B48"/>
      <c r="C48"/>
      <c r="D48"/>
      <c r="E48"/>
      <c r="F48"/>
      <c r="G48"/>
      <c r="H48"/>
      <c r="I48"/>
      <c r="J48"/>
      <c r="K48"/>
      <c r="L48"/>
      <c r="M48"/>
      <c r="N48"/>
      <c r="O48"/>
      <c r="P48"/>
      <c r="Q48"/>
    </row>
    <row r="49" spans="1:17" x14ac:dyDescent="0.35">
      <c r="A49" s="615" t="s">
        <v>65</v>
      </c>
      <c r="B49" s="499"/>
      <c r="C49" s="499"/>
      <c r="D49" s="499"/>
      <c r="E49" s="499"/>
      <c r="F49" s="499"/>
      <c r="G49" s="500">
        <f>F36+G47</f>
        <v>1668.3477357278068</v>
      </c>
      <c r="H49" s="500">
        <f>G36+H47</f>
        <v>20020.172828733685</v>
      </c>
      <c r="I49" s="501"/>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topLeftCell="A14" zoomScale="132" workbookViewId="0">
      <selection activeCell="B3" sqref="B3:C3"/>
    </sheetView>
  </sheetViews>
  <sheetFormatPr defaultColWidth="9.1796875" defaultRowHeight="14.5" x14ac:dyDescent="0.35"/>
  <cols>
    <col min="1" max="1" width="20.1796875" style="288" customWidth="1"/>
    <col min="2" max="2" width="13.453125" style="280" customWidth="1"/>
    <col min="3" max="3" width="46.1796875" style="70" customWidth="1"/>
    <col min="4" max="4" width="3.81640625" style="70" customWidth="1"/>
    <col min="5" max="16384" width="9.1796875" style="70"/>
  </cols>
  <sheetData>
    <row r="1" spans="1:4" ht="26.25" customHeight="1" x14ac:dyDescent="0.35">
      <c r="A1" s="279" t="s">
        <v>150</v>
      </c>
      <c r="D1" s="277"/>
    </row>
    <row r="3" spans="1:4" ht="63" customHeight="1" x14ac:dyDescent="0.35">
      <c r="A3" s="281" t="s">
        <v>151</v>
      </c>
      <c r="B3" s="746" t="s">
        <v>548</v>
      </c>
      <c r="C3" s="746"/>
    </row>
    <row r="4" spans="1:4" x14ac:dyDescent="0.35">
      <c r="A4" s="282"/>
    </row>
    <row r="5" spans="1:4" ht="42" customHeight="1" x14ac:dyDescent="0.35">
      <c r="A5" s="281" t="s">
        <v>152</v>
      </c>
      <c r="B5" s="747" t="s">
        <v>389</v>
      </c>
      <c r="C5" s="747"/>
    </row>
    <row r="6" spans="1:4" ht="23.25" customHeight="1" x14ac:dyDescent="0.35">
      <c r="A6" s="281" t="s">
        <v>153</v>
      </c>
      <c r="B6" s="747" t="s">
        <v>390</v>
      </c>
      <c r="C6" s="747"/>
    </row>
    <row r="7" spans="1:4" ht="23.25" customHeight="1" x14ac:dyDescent="0.35">
      <c r="A7" s="281" t="s">
        <v>154</v>
      </c>
      <c r="B7" s="748" t="s">
        <v>391</v>
      </c>
      <c r="C7" s="748"/>
    </row>
    <row r="8" spans="1:4" ht="23.25" customHeight="1" x14ac:dyDescent="0.35">
      <c r="A8" s="281" t="s">
        <v>155</v>
      </c>
      <c r="B8" s="749" t="s">
        <v>392</v>
      </c>
      <c r="C8" s="749"/>
    </row>
    <row r="9" spans="1:4" x14ac:dyDescent="0.35">
      <c r="A9" s="282"/>
    </row>
    <row r="10" spans="1:4" ht="33.75" customHeight="1" x14ac:dyDescent="0.35">
      <c r="A10" s="281" t="s">
        <v>156</v>
      </c>
      <c r="B10" s="284">
        <v>2025</v>
      </c>
      <c r="C10" s="285"/>
    </row>
    <row r="11" spans="1:4" ht="35.25" customHeight="1" x14ac:dyDescent="0.35">
      <c r="A11" s="281" t="s">
        <v>157</v>
      </c>
      <c r="B11" s="284">
        <v>2039</v>
      </c>
      <c r="C11" s="285"/>
    </row>
    <row r="12" spans="1:4" ht="36" customHeight="1" x14ac:dyDescent="0.35">
      <c r="A12" s="281" t="s">
        <v>158</v>
      </c>
      <c r="B12" s="286">
        <v>15</v>
      </c>
      <c r="C12" s="287" t="s">
        <v>74</v>
      </c>
    </row>
    <row r="13" spans="1:4" ht="81" customHeight="1" x14ac:dyDescent="0.35">
      <c r="A13" s="281" t="s">
        <v>159</v>
      </c>
      <c r="B13" s="750" t="s">
        <v>388</v>
      </c>
      <c r="C13" s="751"/>
    </row>
    <row r="14" spans="1:4" x14ac:dyDescent="0.35">
      <c r="A14" s="282"/>
    </row>
    <row r="15" spans="1:4" ht="20.25" customHeight="1" x14ac:dyDescent="0.35">
      <c r="A15" s="288" t="s">
        <v>160</v>
      </c>
    </row>
    <row r="16" spans="1:4" ht="24.75" customHeight="1" x14ac:dyDescent="0.35">
      <c r="A16" s="281" t="s">
        <v>161</v>
      </c>
      <c r="B16" s="743">
        <v>45658</v>
      </c>
      <c r="C16" s="743"/>
    </row>
    <row r="17" spans="1:3" ht="24.75" customHeight="1" x14ac:dyDescent="0.35">
      <c r="A17" s="281" t="s">
        <v>162</v>
      </c>
      <c r="B17" s="743">
        <v>51135</v>
      </c>
      <c r="C17" s="743"/>
    </row>
    <row r="18" spans="1:3" x14ac:dyDescent="0.35">
      <c r="A18" s="289"/>
      <c r="B18" s="744"/>
      <c r="C18" s="744"/>
    </row>
    <row r="19" spans="1:3" ht="36.75" customHeight="1" x14ac:dyDescent="0.35">
      <c r="A19" s="281" t="s">
        <v>221</v>
      </c>
      <c r="B19" s="745">
        <v>45713</v>
      </c>
      <c r="C19" s="745"/>
    </row>
    <row r="20" spans="1:3" x14ac:dyDescent="0.35">
      <c r="A20" s="282"/>
    </row>
    <row r="21" spans="1:3" x14ac:dyDescent="0.35">
      <c r="A21" s="282"/>
    </row>
    <row r="22" spans="1:3" x14ac:dyDescent="0.35">
      <c r="A22" s="282"/>
    </row>
    <row r="23" spans="1:3" x14ac:dyDescent="0.35">
      <c r="A23" s="282"/>
    </row>
    <row r="24" spans="1:3" x14ac:dyDescent="0.35">
      <c r="A24" s="282"/>
    </row>
    <row r="25" spans="1:3" x14ac:dyDescent="0.35">
      <c r="A25" s="282"/>
    </row>
    <row r="26" spans="1:3" x14ac:dyDescent="0.35">
      <c r="A26" s="282"/>
    </row>
    <row r="27" spans="1:3" x14ac:dyDescent="0.35">
      <c r="A27" s="282"/>
    </row>
    <row r="28" spans="1:3" x14ac:dyDescent="0.35">
      <c r="A28" s="282"/>
    </row>
    <row r="29" spans="1:3" x14ac:dyDescent="0.35">
      <c r="A29" s="282"/>
    </row>
    <row r="30" spans="1:3" x14ac:dyDescent="0.35">
      <c r="A30" s="282"/>
    </row>
    <row r="31" spans="1:3" x14ac:dyDescent="0.35">
      <c r="A31" s="282"/>
    </row>
    <row r="32" spans="1:3" x14ac:dyDescent="0.35">
      <c r="A32" s="282"/>
    </row>
    <row r="33" spans="1:1" x14ac:dyDescent="0.35">
      <c r="A33" s="282"/>
    </row>
    <row r="34" spans="1:1" x14ac:dyDescent="0.35">
      <c r="A34" s="282"/>
    </row>
    <row r="35" spans="1:1" x14ac:dyDescent="0.35">
      <c r="A35" s="282"/>
    </row>
    <row r="36" spans="1:1" x14ac:dyDescent="0.35">
      <c r="A36" s="282"/>
    </row>
    <row r="37" spans="1:1" x14ac:dyDescent="0.35">
      <c r="A37" s="282"/>
    </row>
    <row r="38" spans="1:1" x14ac:dyDescent="0.35">
      <c r="A38" s="282"/>
    </row>
    <row r="39" spans="1:1" x14ac:dyDescent="0.35">
      <c r="A39" s="282"/>
    </row>
    <row r="40" spans="1:1" x14ac:dyDescent="0.35">
      <c r="A40" s="282"/>
    </row>
    <row r="41" spans="1:1" x14ac:dyDescent="0.35">
      <c r="A41" s="282"/>
    </row>
    <row r="42" spans="1:1" x14ac:dyDescent="0.35">
      <c r="A42" s="282"/>
    </row>
    <row r="43" spans="1:1" x14ac:dyDescent="0.35">
      <c r="A43" s="282"/>
    </row>
    <row r="44" spans="1:1" x14ac:dyDescent="0.35">
      <c r="A44" s="282"/>
    </row>
    <row r="45" spans="1:1" x14ac:dyDescent="0.35">
      <c r="A45" s="282"/>
    </row>
    <row r="46" spans="1:1" x14ac:dyDescent="0.35">
      <c r="A46" s="282"/>
    </row>
    <row r="47" spans="1:1" x14ac:dyDescent="0.35">
      <c r="A47" s="282"/>
    </row>
    <row r="48" spans="1:1" x14ac:dyDescent="0.35">
      <c r="A48" s="282"/>
    </row>
  </sheetData>
  <mergeCells count="10">
    <mergeCell ref="B16:C16"/>
    <mergeCell ref="B17:C17"/>
    <mergeCell ref="B18:C18"/>
    <mergeCell ref="B19:C19"/>
    <mergeCell ref="B3:C3"/>
    <mergeCell ref="B5:C5"/>
    <mergeCell ref="B6:C6"/>
    <mergeCell ref="B7:C7"/>
    <mergeCell ref="B8:C8"/>
    <mergeCell ref="B13:C13"/>
  </mergeCells>
  <hyperlinks>
    <hyperlink ref="B7" r:id="rId1" xr:uid="{00000000-0004-0000-0100-000000000000}"/>
  </hyperlinks>
  <pageMargins left="0.9055118110236221" right="0.70866141732283472" top="0.74803149606299213" bottom="0.74803149606299213" header="0.31496062992125984" footer="0.31496062992125984"/>
  <pageSetup paperSize="9" orientation="portrait" verticalDpi="0"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50"/>
  <sheetViews>
    <sheetView workbookViewId="0">
      <selection activeCell="C7" sqref="C7"/>
    </sheetView>
  </sheetViews>
  <sheetFormatPr defaultColWidth="9.1796875" defaultRowHeight="14.5" x14ac:dyDescent="0.35"/>
  <cols>
    <col min="1" max="1" width="25.1796875" style="362" customWidth="1"/>
    <col min="2" max="2" width="15.1796875" style="362" customWidth="1"/>
    <col min="3" max="3" width="14.6328125" style="362" customWidth="1"/>
    <col min="4" max="4" width="13.1796875" style="362" customWidth="1"/>
    <col min="5" max="5" width="13.36328125" style="362" customWidth="1"/>
    <col min="6" max="6" width="8.81640625" style="362" customWidth="1"/>
    <col min="7" max="7" width="12.453125" style="362" customWidth="1"/>
    <col min="8" max="8" width="14.36328125" style="362" customWidth="1"/>
    <col min="9" max="9" width="13.36328125" style="362" customWidth="1"/>
    <col min="10" max="10" width="17" style="362" customWidth="1"/>
    <col min="11" max="16384" width="9.1796875" style="362"/>
  </cols>
  <sheetData>
    <row r="1" spans="1:8" x14ac:dyDescent="0.35">
      <c r="A1" s="632" t="s">
        <v>419</v>
      </c>
      <c r="B1" s="632"/>
      <c r="C1" s="600"/>
      <c r="D1" s="600"/>
      <c r="E1" s="633"/>
      <c r="F1" s="598"/>
      <c r="G1" s="598"/>
      <c r="H1" s="600"/>
    </row>
    <row r="2" spans="1:8" x14ac:dyDescent="0.35">
      <c r="A2" s="600"/>
      <c r="B2" s="600"/>
      <c r="C2" s="600"/>
      <c r="D2" s="600"/>
      <c r="E2" s="599"/>
      <c r="F2" s="600"/>
      <c r="G2" s="600"/>
      <c r="H2" s="600"/>
    </row>
    <row r="3" spans="1:8" x14ac:dyDescent="0.35">
      <c r="A3" s="632" t="s">
        <v>420</v>
      </c>
      <c r="B3" s="632"/>
      <c r="C3" s="600"/>
      <c r="D3" s="598"/>
      <c r="E3" s="599"/>
      <c r="F3" s="600"/>
      <c r="G3" s="600"/>
      <c r="H3" s="600"/>
    </row>
    <row r="4" spans="1:8" x14ac:dyDescent="0.35">
      <c r="A4" s="634" t="s">
        <v>544</v>
      </c>
      <c r="B4" s="597" t="s">
        <v>545</v>
      </c>
      <c r="C4" s="597">
        <v>62.78</v>
      </c>
      <c r="D4" s="598"/>
      <c r="E4" s="599"/>
      <c r="F4" s="600"/>
      <c r="G4" s="600"/>
      <c r="H4" s="600"/>
    </row>
    <row r="5" spans="1:8" x14ac:dyDescent="0.35">
      <c r="A5" s="634" t="s">
        <v>421</v>
      </c>
      <c r="B5" s="597" t="s">
        <v>426</v>
      </c>
      <c r="C5" s="485">
        <f>SUM(Eeldused25!C5)</f>
        <v>0.192</v>
      </c>
      <c r="D5" s="601"/>
      <c r="E5" s="599"/>
      <c r="F5" s="600"/>
      <c r="G5" s="602"/>
      <c r="H5" s="600"/>
    </row>
    <row r="6" spans="1:8" x14ac:dyDescent="0.35">
      <c r="A6" s="634" t="s">
        <v>422</v>
      </c>
      <c r="B6" s="597" t="s">
        <v>425</v>
      </c>
      <c r="C6" s="597">
        <v>1.64</v>
      </c>
      <c r="D6" s="598"/>
      <c r="E6" s="599"/>
      <c r="F6" s="600"/>
      <c r="G6" s="600"/>
      <c r="H6" s="600"/>
    </row>
    <row r="7" spans="1:8" x14ac:dyDescent="0.35">
      <c r="A7" s="634" t="s">
        <v>423</v>
      </c>
      <c r="B7" s="597" t="s">
        <v>425</v>
      </c>
      <c r="C7" s="597">
        <v>5</v>
      </c>
      <c r="D7" s="598"/>
      <c r="E7" s="599"/>
      <c r="F7" s="600"/>
      <c r="G7" s="600"/>
      <c r="H7" s="600"/>
    </row>
    <row r="8" spans="1:8" x14ac:dyDescent="0.35">
      <c r="A8" s="634" t="s">
        <v>424</v>
      </c>
      <c r="B8" s="597" t="s">
        <v>425</v>
      </c>
      <c r="C8" s="597">
        <v>1.64</v>
      </c>
      <c r="D8" s="598"/>
      <c r="E8" s="599"/>
      <c r="F8" s="600"/>
      <c r="G8" s="600"/>
      <c r="H8" s="600"/>
    </row>
    <row r="9" spans="1:8" x14ac:dyDescent="0.35">
      <c r="A9" s="600"/>
      <c r="B9" s="600"/>
      <c r="C9" s="600"/>
      <c r="D9" s="600"/>
      <c r="E9" s="599"/>
      <c r="F9" s="600"/>
      <c r="G9" s="600"/>
      <c r="H9" s="600"/>
    </row>
    <row r="10" spans="1:8" x14ac:dyDescent="0.35">
      <c r="A10" s="632" t="s">
        <v>427</v>
      </c>
      <c r="B10" s="632"/>
      <c r="C10" s="600"/>
      <c r="D10" s="600"/>
      <c r="E10" s="599"/>
      <c r="F10" s="600"/>
      <c r="G10" s="600"/>
      <c r="H10" s="600"/>
    </row>
    <row r="11" spans="1:8" ht="29" x14ac:dyDescent="0.35">
      <c r="A11" s="634"/>
      <c r="B11" s="635" t="s">
        <v>2</v>
      </c>
      <c r="C11" s="603" t="s">
        <v>428</v>
      </c>
      <c r="D11" s="604" t="s">
        <v>429</v>
      </c>
      <c r="E11" s="599"/>
      <c r="F11" s="600"/>
      <c r="G11" s="600"/>
      <c r="H11" s="600"/>
    </row>
    <row r="12" spans="1:8" x14ac:dyDescent="0.35">
      <c r="A12" s="634" t="s">
        <v>544</v>
      </c>
      <c r="B12" s="636"/>
      <c r="C12" s="603"/>
      <c r="D12" s="604"/>
      <c r="E12" s="599"/>
      <c r="F12" s="600"/>
      <c r="G12" s="600"/>
      <c r="H12" s="600"/>
    </row>
    <row r="13" spans="1:8" hidden="1" x14ac:dyDescent="0.35">
      <c r="A13" s="631"/>
      <c r="B13" s="637"/>
      <c r="C13" s="605"/>
      <c r="D13" s="605"/>
      <c r="E13" s="599"/>
      <c r="F13" s="600"/>
      <c r="G13" s="606"/>
      <c r="H13" s="600"/>
    </row>
    <row r="14" spans="1:8" x14ac:dyDescent="0.35">
      <c r="A14" s="631" t="s">
        <v>278</v>
      </c>
      <c r="B14" s="637" t="s">
        <v>546</v>
      </c>
      <c r="C14" s="607">
        <v>11.6</v>
      </c>
      <c r="D14" s="607">
        <f>C14</f>
        <v>11.6</v>
      </c>
      <c r="E14" s="599"/>
      <c r="F14" s="600"/>
      <c r="G14" s="600"/>
      <c r="H14" s="600"/>
    </row>
    <row r="15" spans="1:8" x14ac:dyDescent="0.35">
      <c r="A15" s="634" t="s">
        <v>421</v>
      </c>
      <c r="B15" s="604"/>
      <c r="C15" s="597"/>
      <c r="D15" s="600"/>
      <c r="E15" s="599"/>
      <c r="F15" s="600"/>
      <c r="G15" s="600"/>
      <c r="H15" s="600"/>
    </row>
    <row r="16" spans="1:8" ht="14.25" hidden="1" customHeight="1" x14ac:dyDescent="0.35">
      <c r="A16" s="638"/>
      <c r="B16" s="637"/>
      <c r="C16" s="607"/>
      <c r="D16" s="600"/>
      <c r="E16" s="599"/>
      <c r="F16" s="600"/>
      <c r="G16" s="600"/>
      <c r="H16" s="600"/>
    </row>
    <row r="17" spans="1:8" ht="14.25" customHeight="1" x14ac:dyDescent="0.35">
      <c r="A17" s="638" t="s">
        <v>278</v>
      </c>
      <c r="B17" s="637" t="s">
        <v>431</v>
      </c>
      <c r="C17" s="607">
        <v>4</v>
      </c>
      <c r="D17" s="608"/>
      <c r="E17" s="599"/>
      <c r="F17" s="600"/>
      <c r="G17" s="600"/>
      <c r="H17" s="600"/>
    </row>
    <row r="18" spans="1:8" ht="14.25" customHeight="1" x14ac:dyDescent="0.35">
      <c r="A18" s="634" t="s">
        <v>397</v>
      </c>
      <c r="B18" s="604" t="s">
        <v>432</v>
      </c>
      <c r="C18" s="597">
        <f>50*21/1000</f>
        <v>1.05</v>
      </c>
      <c r="D18" s="600"/>
      <c r="E18" s="599"/>
      <c r="F18" s="600"/>
      <c r="G18" s="600"/>
      <c r="H18" s="600"/>
    </row>
    <row r="19" spans="1:8" ht="14.25" customHeight="1" x14ac:dyDescent="0.35">
      <c r="A19" s="631" t="s">
        <v>398</v>
      </c>
      <c r="B19" s="604" t="s">
        <v>432</v>
      </c>
      <c r="C19" s="597">
        <f>C18*0.6</f>
        <v>0.63</v>
      </c>
      <c r="D19" s="600"/>
      <c r="E19" s="599"/>
      <c r="F19" s="600"/>
      <c r="G19" s="600"/>
      <c r="H19" s="600"/>
    </row>
    <row r="20" spans="1:8" ht="14.25" customHeight="1" x14ac:dyDescent="0.35">
      <c r="A20" s="631" t="s">
        <v>399</v>
      </c>
      <c r="B20" s="604" t="s">
        <v>432</v>
      </c>
      <c r="C20" s="597">
        <f>C18*0.4</f>
        <v>0.42000000000000004</v>
      </c>
      <c r="D20" s="600"/>
      <c r="E20" s="599"/>
      <c r="F20" s="600"/>
      <c r="G20" s="609"/>
      <c r="H20" s="600"/>
    </row>
    <row r="21" spans="1:8" x14ac:dyDescent="0.35">
      <c r="A21" s="600"/>
      <c r="B21" s="600"/>
      <c r="C21" s="600"/>
      <c r="D21" s="600"/>
      <c r="E21" s="599"/>
      <c r="F21" s="600"/>
      <c r="G21" s="600"/>
      <c r="H21" s="600"/>
    </row>
    <row r="22" spans="1:8" ht="18.75" customHeight="1" x14ac:dyDescent="0.35">
      <c r="A22" s="632" t="s">
        <v>433</v>
      </c>
      <c r="B22" s="639"/>
      <c r="C22" s="610"/>
      <c r="D22" s="610"/>
      <c r="E22" s="611"/>
      <c r="F22" s="600"/>
      <c r="G22" s="600"/>
      <c r="H22" s="600"/>
    </row>
    <row r="23" spans="1:8" ht="18.75" customHeight="1" x14ac:dyDescent="0.35">
      <c r="A23" s="640" t="s">
        <v>280</v>
      </c>
      <c r="B23" s="859" t="s">
        <v>2</v>
      </c>
      <c r="C23" s="859" t="s">
        <v>341</v>
      </c>
      <c r="D23" s="859" t="s">
        <v>428</v>
      </c>
      <c r="E23" s="864" t="s">
        <v>434</v>
      </c>
      <c r="F23" s="859" t="s">
        <v>270</v>
      </c>
      <c r="G23" s="859" t="s">
        <v>274</v>
      </c>
      <c r="H23" s="600"/>
    </row>
    <row r="24" spans="1:8" x14ac:dyDescent="0.35">
      <c r="A24" s="641"/>
      <c r="B24" s="860"/>
      <c r="C24" s="860"/>
      <c r="D24" s="860"/>
      <c r="E24" s="865"/>
      <c r="F24" s="860"/>
      <c r="G24" s="860"/>
      <c r="H24" s="600"/>
    </row>
    <row r="25" spans="1:8" hidden="1" x14ac:dyDescent="0.35">
      <c r="A25" s="597" t="s">
        <v>430</v>
      </c>
      <c r="B25" s="642" t="s">
        <v>279</v>
      </c>
      <c r="C25" s="612"/>
      <c r="D25" s="612"/>
      <c r="E25" s="612"/>
      <c r="F25" s="597"/>
      <c r="G25" s="612"/>
      <c r="H25" s="600"/>
    </row>
    <row r="26" spans="1:8" hidden="1" x14ac:dyDescent="0.35">
      <c r="A26" s="597"/>
      <c r="B26" s="642"/>
      <c r="C26" s="613"/>
      <c r="D26" s="613"/>
      <c r="E26" s="613"/>
      <c r="F26" s="597"/>
      <c r="G26" s="613"/>
      <c r="H26" s="600"/>
    </row>
    <row r="27" spans="1:8" x14ac:dyDescent="0.35">
      <c r="A27" s="597" t="s">
        <v>278</v>
      </c>
      <c r="B27" s="642" t="s">
        <v>279</v>
      </c>
      <c r="C27" s="614">
        <f>Ruumid!C36</f>
        <v>1621.3000000000002</v>
      </c>
      <c r="D27" s="614">
        <f>Tulud50!N33</f>
        <v>827.05000000000007</v>
      </c>
      <c r="E27" s="614">
        <f>Tulud50!O33</f>
        <v>212.45</v>
      </c>
      <c r="F27" s="597">
        <f>Ruumid!C26</f>
        <v>137</v>
      </c>
      <c r="G27" s="612">
        <f>Ruumid!C38</f>
        <v>397.9</v>
      </c>
      <c r="H27" s="600"/>
    </row>
    <row r="28" spans="1:8" x14ac:dyDescent="0.35">
      <c r="A28" s="597"/>
      <c r="B28" s="642"/>
      <c r="C28" s="613">
        <f>C27/$C$27</f>
        <v>1</v>
      </c>
      <c r="D28" s="613">
        <f>D27/$C$27</f>
        <v>0.51011533954234256</v>
      </c>
      <c r="E28" s="613">
        <f>E27/$C$27</f>
        <v>0.13103682230309008</v>
      </c>
      <c r="F28" s="613">
        <f>F27/$C$27</f>
        <v>8.4500092518349459E-2</v>
      </c>
      <c r="G28" s="613">
        <f>G27/$C$27</f>
        <v>0.24542034170110402</v>
      </c>
      <c r="H28" s="600"/>
    </row>
    <row r="29" spans="1:8" x14ac:dyDescent="0.35">
      <c r="A29" s="600"/>
      <c r="B29" s="643"/>
      <c r="C29" s="644"/>
      <c r="D29" s="644"/>
      <c r="E29" s="644"/>
      <c r="F29" s="644"/>
      <c r="G29" s="644"/>
      <c r="H29" s="600"/>
    </row>
    <row r="30" spans="1:8" x14ac:dyDescent="0.35">
      <c r="A30" s="632" t="s">
        <v>458</v>
      </c>
      <c r="B30" s="643"/>
      <c r="C30" s="644"/>
      <c r="D30" s="644"/>
      <c r="E30" s="644"/>
      <c r="F30" s="644"/>
      <c r="G30" s="644"/>
      <c r="H30" s="600"/>
    </row>
    <row r="31" spans="1:8" ht="15" customHeight="1" x14ac:dyDescent="0.35">
      <c r="A31" s="640" t="s">
        <v>280</v>
      </c>
      <c r="B31" s="861" t="s">
        <v>2</v>
      </c>
      <c r="C31" s="863" t="s">
        <v>459</v>
      </c>
      <c r="D31" s="863"/>
      <c r="E31" s="863"/>
      <c r="F31" s="600"/>
      <c r="G31" s="600"/>
      <c r="H31" s="600"/>
    </row>
    <row r="32" spans="1:8" ht="43.5" x14ac:dyDescent="0.35">
      <c r="A32" s="641"/>
      <c r="B32" s="862"/>
      <c r="C32" s="645" t="s">
        <v>460</v>
      </c>
      <c r="D32" s="646" t="s">
        <v>461</v>
      </c>
      <c r="E32" s="645" t="s">
        <v>341</v>
      </c>
      <c r="F32" s="600"/>
      <c r="G32" s="600"/>
      <c r="H32" s="600"/>
    </row>
    <row r="33" spans="1:8" hidden="1" x14ac:dyDescent="0.35">
      <c r="A33" s="597" t="s">
        <v>430</v>
      </c>
      <c r="B33" s="647" t="s">
        <v>279</v>
      </c>
      <c r="C33" s="612"/>
      <c r="D33" s="612"/>
      <c r="E33" s="612"/>
      <c r="F33" s="600"/>
      <c r="G33" s="600"/>
      <c r="H33" s="600"/>
    </row>
    <row r="34" spans="1:8" hidden="1" x14ac:dyDescent="0.35">
      <c r="A34" s="597"/>
      <c r="B34" s="647"/>
      <c r="C34" s="613"/>
      <c r="D34" s="613"/>
      <c r="E34" s="613"/>
      <c r="F34" s="600"/>
      <c r="G34" s="600"/>
      <c r="H34" s="600"/>
    </row>
    <row r="35" spans="1:8" x14ac:dyDescent="0.35">
      <c r="A35" s="597" t="s">
        <v>278</v>
      </c>
      <c r="B35" s="647" t="s">
        <v>279</v>
      </c>
      <c r="C35" s="614">
        <f>Tulud50!N33</f>
        <v>827.05000000000007</v>
      </c>
      <c r="D35" s="614">
        <f>Tulud50!O33+Ruumid!C26</f>
        <v>349.45</v>
      </c>
      <c r="E35" s="612">
        <f>SUM(C35:D35)</f>
        <v>1176.5</v>
      </c>
      <c r="F35" s="600"/>
      <c r="G35" s="600"/>
      <c r="H35" s="600"/>
    </row>
    <row r="36" spans="1:8" x14ac:dyDescent="0.35">
      <c r="A36" s="597"/>
      <c r="B36" s="647"/>
      <c r="C36" s="613">
        <f>C35/E35</f>
        <v>0.70297492562685937</v>
      </c>
      <c r="D36" s="613">
        <f>D35/E35</f>
        <v>0.29702507437314069</v>
      </c>
      <c r="E36" s="613">
        <f>E35/E35</f>
        <v>1</v>
      </c>
      <c r="F36" s="600"/>
      <c r="G36" s="600"/>
      <c r="H36" s="600"/>
    </row>
    <row r="37" spans="1:8" x14ac:dyDescent="0.35">
      <c r="A37" s="597" t="s">
        <v>341</v>
      </c>
      <c r="B37" s="648" t="s">
        <v>279</v>
      </c>
      <c r="C37" s="649">
        <f>C33+C35</f>
        <v>827.05000000000007</v>
      </c>
      <c r="D37" s="649">
        <f>D33+D35</f>
        <v>349.45</v>
      </c>
      <c r="E37" s="649">
        <f>E33+E35</f>
        <v>1176.5</v>
      </c>
      <c r="F37" s="600"/>
      <c r="G37" s="600"/>
      <c r="H37" s="600"/>
    </row>
    <row r="38" spans="1:8" x14ac:dyDescent="0.35">
      <c r="A38" s="597"/>
      <c r="B38" s="647"/>
      <c r="C38" s="613">
        <f>C37/E37</f>
        <v>0.70297492562685937</v>
      </c>
      <c r="D38" s="613">
        <f>D37/E37</f>
        <v>0.29702507437314069</v>
      </c>
      <c r="E38" s="613">
        <f>E37/E37</f>
        <v>1</v>
      </c>
      <c r="F38" s="600"/>
      <c r="G38" s="600"/>
      <c r="H38" s="600"/>
    </row>
    <row r="39" spans="1:8" x14ac:dyDescent="0.35">
      <c r="A39" s="600"/>
      <c r="B39" s="600"/>
      <c r="C39" s="600"/>
      <c r="D39" s="600"/>
      <c r="E39" s="599"/>
      <c r="F39" s="600"/>
      <c r="G39" s="600"/>
      <c r="H39" s="600"/>
    </row>
    <row r="40" spans="1:8" x14ac:dyDescent="0.35">
      <c r="A40" s="632" t="s">
        <v>435</v>
      </c>
      <c r="B40" s="600"/>
      <c r="C40" s="600"/>
      <c r="D40" s="600"/>
      <c r="E40" s="599"/>
      <c r="F40" s="600"/>
      <c r="G40" s="600" t="s">
        <v>440</v>
      </c>
      <c r="H40" s="600"/>
    </row>
    <row r="41" spans="1:8" ht="43.5" x14ac:dyDescent="0.35">
      <c r="A41" s="650" t="s">
        <v>280</v>
      </c>
      <c r="B41" s="645" t="str">
        <f>B23</f>
        <v>Ühik</v>
      </c>
      <c r="C41" s="645" t="s">
        <v>437</v>
      </c>
      <c r="D41" s="646" t="s">
        <v>438</v>
      </c>
      <c r="E41" s="646" t="s">
        <v>439</v>
      </c>
      <c r="F41" s="600"/>
      <c r="G41" s="645" t="s">
        <v>441</v>
      </c>
      <c r="H41" s="645" t="s">
        <v>442</v>
      </c>
    </row>
    <row r="42" spans="1:8" hidden="1" x14ac:dyDescent="0.35">
      <c r="A42" s="597" t="str">
        <f>A33</f>
        <v>Stuudio</v>
      </c>
      <c r="B42" s="597" t="s">
        <v>436</v>
      </c>
      <c r="C42" s="651"/>
      <c r="D42" s="597"/>
      <c r="E42" s="612"/>
      <c r="F42" s="600"/>
      <c r="G42" s="651"/>
      <c r="H42" s="597"/>
    </row>
    <row r="43" spans="1:8" x14ac:dyDescent="0.35">
      <c r="A43" s="597" t="str">
        <f>A35</f>
        <v>Inkubaator</v>
      </c>
      <c r="B43" s="597" t="s">
        <v>436</v>
      </c>
      <c r="C43" s="651">
        <v>1</v>
      </c>
      <c r="D43" s="597">
        <f>C43*8</f>
        <v>8</v>
      </c>
      <c r="E43" s="612">
        <f>D43*250</f>
        <v>2000</v>
      </c>
      <c r="F43" s="600"/>
      <c r="G43" s="651">
        <v>3</v>
      </c>
      <c r="H43" s="597">
        <f>G43*250</f>
        <v>750</v>
      </c>
    </row>
    <row r="44" spans="1:8" x14ac:dyDescent="0.35">
      <c r="A44" s="600"/>
      <c r="B44" s="600"/>
      <c r="C44" s="600"/>
      <c r="D44" s="600"/>
      <c r="E44" s="599"/>
      <c r="F44" s="600"/>
      <c r="G44" s="600"/>
      <c r="H44" s="600"/>
    </row>
    <row r="45" spans="1:8" x14ac:dyDescent="0.35">
      <c r="A45" s="632" t="s">
        <v>443</v>
      </c>
      <c r="B45" s="600"/>
      <c r="C45" s="600"/>
      <c r="D45" s="600"/>
      <c r="E45" s="600"/>
      <c r="F45" s="600"/>
      <c r="G45" s="600"/>
      <c r="H45" s="600"/>
    </row>
    <row r="46" spans="1:8" ht="29" x14ac:dyDescent="0.35">
      <c r="A46" s="650" t="s">
        <v>280</v>
      </c>
      <c r="B46" s="645" t="s">
        <v>445</v>
      </c>
      <c r="C46" s="645" t="s">
        <v>444</v>
      </c>
      <c r="D46" s="600"/>
      <c r="E46" s="600"/>
      <c r="F46" s="600"/>
      <c r="G46" s="600"/>
      <c r="H46" s="600"/>
    </row>
    <row r="47" spans="1:8" hidden="1" x14ac:dyDescent="0.35">
      <c r="A47" s="597" t="str">
        <f>A42</f>
        <v>Stuudio</v>
      </c>
      <c r="B47" s="597"/>
      <c r="C47" s="614"/>
      <c r="D47" s="600"/>
      <c r="E47" s="600"/>
      <c r="F47" s="600"/>
      <c r="G47" s="600"/>
      <c r="H47" s="600"/>
    </row>
    <row r="48" spans="1:8" x14ac:dyDescent="0.35">
      <c r="A48" s="597" t="str">
        <f>A43</f>
        <v>Inkubaator</v>
      </c>
      <c r="B48" s="597">
        <v>10</v>
      </c>
      <c r="C48" s="614">
        <f>C35/B48</f>
        <v>82.705000000000013</v>
      </c>
      <c r="D48" s="600"/>
      <c r="E48" s="600"/>
      <c r="F48" s="600"/>
      <c r="G48" s="600"/>
      <c r="H48" s="600"/>
    </row>
    <row r="49" spans="1:8" x14ac:dyDescent="0.35">
      <c r="A49" s="597" t="s">
        <v>341</v>
      </c>
      <c r="B49" s="597"/>
      <c r="C49" s="614">
        <f>SUM(C47:C48)</f>
        <v>82.705000000000013</v>
      </c>
      <c r="D49" s="600"/>
      <c r="E49" s="600"/>
      <c r="F49" s="600"/>
      <c r="G49" s="600"/>
      <c r="H49" s="600"/>
    </row>
    <row r="50" spans="1:8" x14ac:dyDescent="0.35">
      <c r="E50" s="363"/>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77"/>
  <sheetViews>
    <sheetView topLeftCell="A14" zoomScale="120" zoomScaleNormal="120" workbookViewId="0">
      <selection activeCell="E21" sqref="E21"/>
    </sheetView>
  </sheetViews>
  <sheetFormatPr defaultColWidth="9.1796875" defaultRowHeight="14.5" outlineLevelRow="1" outlineLevelCol="1" x14ac:dyDescent="0.35"/>
  <cols>
    <col min="1" max="1" width="32.81640625" style="362" customWidth="1"/>
    <col min="2" max="2" width="15.1796875" style="362" customWidth="1" outlineLevel="1"/>
    <col min="3" max="3" width="9.36328125" style="362" customWidth="1" outlineLevel="1"/>
    <col min="4" max="5" width="14.1796875" style="362" customWidth="1"/>
    <col min="6" max="6" width="14.81640625" style="362" hidden="1" customWidth="1" outlineLevel="1"/>
    <col min="7" max="7" width="17.453125" style="362" hidden="1" customWidth="1" outlineLevel="1"/>
    <col min="8" max="8" width="16.1796875" style="362" hidden="1" customWidth="1" outlineLevel="1"/>
    <col min="9" max="9" width="11.81640625" style="362" hidden="1" customWidth="1" outlineLevel="1"/>
    <col min="10" max="10" width="21.453125" style="362" hidden="1" customWidth="1" outlineLevel="1"/>
    <col min="11" max="11" width="17" style="362" hidden="1" customWidth="1" outlineLevel="1"/>
    <col min="12" max="12" width="9.1796875" style="362" collapsed="1"/>
    <col min="13" max="16384" width="9.1796875" style="362"/>
  </cols>
  <sheetData>
    <row r="1" spans="1:18" x14ac:dyDescent="0.35">
      <c r="A1" s="668" t="s">
        <v>9</v>
      </c>
      <c r="B1" s="600"/>
      <c r="C1" s="600"/>
      <c r="D1" s="652"/>
      <c r="E1" s="652"/>
      <c r="F1" s="494"/>
      <c r="G1" s="489">
        <f>'5. Abikõlblik kulu'!D13</f>
        <v>0</v>
      </c>
      <c r="H1"/>
      <c r="I1"/>
      <c r="J1"/>
      <c r="K1"/>
      <c r="L1"/>
      <c r="M1"/>
      <c r="N1"/>
      <c r="O1"/>
      <c r="P1"/>
      <c r="Q1"/>
      <c r="R1"/>
    </row>
    <row r="2" spans="1:18" ht="43.5" x14ac:dyDescent="0.35">
      <c r="A2" s="597"/>
      <c r="B2" s="669"/>
      <c r="C2" s="603"/>
      <c r="D2" s="645" t="s">
        <v>475</v>
      </c>
      <c r="E2" s="645" t="s">
        <v>476</v>
      </c>
      <c r="F2" s="484" t="s">
        <v>284</v>
      </c>
      <c r="G2" s="484" t="s">
        <v>285</v>
      </c>
      <c r="H2"/>
      <c r="I2"/>
      <c r="J2"/>
      <c r="K2"/>
      <c r="L2"/>
      <c r="M2"/>
      <c r="N2"/>
      <c r="O2"/>
      <c r="P2"/>
      <c r="Q2"/>
      <c r="R2"/>
    </row>
    <row r="3" spans="1:18" x14ac:dyDescent="0.35">
      <c r="A3" s="670" t="s">
        <v>348</v>
      </c>
      <c r="B3" s="637"/>
      <c r="C3" s="671"/>
      <c r="D3" s="671"/>
      <c r="E3" s="671"/>
      <c r="F3" s="485"/>
      <c r="G3" s="485"/>
      <c r="H3"/>
      <c r="I3"/>
      <c r="J3"/>
      <c r="K3"/>
      <c r="L3"/>
      <c r="M3"/>
      <c r="N3"/>
      <c r="O3"/>
      <c r="P3"/>
      <c r="Q3"/>
      <c r="R3"/>
    </row>
    <row r="4" spans="1:18" x14ac:dyDescent="0.35">
      <c r="A4" s="637" t="s">
        <v>410</v>
      </c>
      <c r="B4" s="637"/>
      <c r="C4" s="671"/>
      <c r="D4" s="671">
        <f>E4/12</f>
        <v>703.65227213333355</v>
      </c>
      <c r="E4" s="671">
        <f>E20+E14+E5</f>
        <v>8443.8272656000026</v>
      </c>
      <c r="F4" s="502">
        <f t="shared" ref="F4:G4" si="0">F20+F14+F5</f>
        <v>6021.8227292600786</v>
      </c>
      <c r="G4" s="502">
        <f t="shared" si="0"/>
        <v>2422.0045363399245</v>
      </c>
      <c r="H4" s="503">
        <f t="shared" ref="H4:H11" si="1">G4/$G$62</f>
        <v>1.8106863721210835E-2</v>
      </c>
      <c r="I4"/>
      <c r="J4"/>
      <c r="K4"/>
      <c r="L4"/>
      <c r="M4"/>
      <c r="N4"/>
      <c r="O4"/>
      <c r="P4"/>
      <c r="Q4"/>
      <c r="R4"/>
    </row>
    <row r="5" spans="1:18" x14ac:dyDescent="0.35">
      <c r="A5" s="636" t="s">
        <v>286</v>
      </c>
      <c r="B5" s="672" t="s">
        <v>547</v>
      </c>
      <c r="C5" s="671">
        <f>C6+C9</f>
        <v>75.228320000000011</v>
      </c>
      <c r="D5" s="673"/>
      <c r="E5" s="671">
        <f>E6+E9</f>
        <v>4722.8339296000013</v>
      </c>
      <c r="F5" s="504">
        <f>F6+F9</f>
        <v>3320.0338304085685</v>
      </c>
      <c r="G5" s="504">
        <f>E5-F5</f>
        <v>1402.8000991914328</v>
      </c>
      <c r="H5" s="503">
        <f t="shared" si="1"/>
        <v>1.048730910411285E-2</v>
      </c>
      <c r="I5"/>
      <c r="J5"/>
      <c r="K5"/>
      <c r="L5"/>
      <c r="M5"/>
      <c r="N5"/>
      <c r="O5"/>
      <c r="P5"/>
      <c r="Q5"/>
      <c r="R5"/>
    </row>
    <row r="6" spans="1:18" hidden="1" outlineLevel="1" x14ac:dyDescent="0.35">
      <c r="A6" s="674" t="s">
        <v>430</v>
      </c>
      <c r="B6" s="672" t="s">
        <v>547</v>
      </c>
      <c r="C6" s="675">
        <f>SUM(C7:C8)</f>
        <v>0</v>
      </c>
      <c r="D6" s="673"/>
      <c r="E6" s="675">
        <f>SUM(E7:E8)</f>
        <v>0</v>
      </c>
      <c r="F6" s="505">
        <f>SUM(F7:F8)</f>
        <v>0</v>
      </c>
      <c r="G6" s="505">
        <f>E6-F6</f>
        <v>0</v>
      </c>
      <c r="H6" s="503">
        <f t="shared" si="1"/>
        <v>0</v>
      </c>
      <c r="I6"/>
      <c r="J6"/>
      <c r="K6"/>
      <c r="L6"/>
      <c r="M6"/>
      <c r="N6"/>
      <c r="O6"/>
      <c r="P6"/>
      <c r="Q6"/>
      <c r="R6"/>
    </row>
    <row r="7" spans="1:18" hidden="1" outlineLevel="1" x14ac:dyDescent="0.35">
      <c r="A7" s="676" t="s">
        <v>477</v>
      </c>
      <c r="B7" s="672" t="s">
        <v>547</v>
      </c>
      <c r="C7" s="675"/>
      <c r="D7" s="677"/>
      <c r="E7" s="675">
        <f>C7*Eeldused50!$C$4</f>
        <v>0</v>
      </c>
      <c r="F7" s="505">
        <f>E7</f>
        <v>0</v>
      </c>
      <c r="G7" s="505">
        <f>E7-F7</f>
        <v>0</v>
      </c>
      <c r="H7" s="503">
        <f t="shared" si="1"/>
        <v>0</v>
      </c>
      <c r="I7"/>
      <c r="J7"/>
      <c r="K7"/>
      <c r="L7"/>
      <c r="M7"/>
      <c r="N7"/>
      <c r="O7"/>
      <c r="P7"/>
      <c r="Q7"/>
      <c r="R7"/>
    </row>
    <row r="8" spans="1:18" hidden="1" outlineLevel="1" x14ac:dyDescent="0.35">
      <c r="A8" s="678" t="s">
        <v>478</v>
      </c>
      <c r="B8" s="672" t="s">
        <v>547</v>
      </c>
      <c r="C8" s="675"/>
      <c r="D8" s="677"/>
      <c r="E8" s="675">
        <f>C8*Eeldused50!$C$4</f>
        <v>0</v>
      </c>
      <c r="F8" s="505"/>
      <c r="G8" s="505">
        <f>E8-F8</f>
        <v>0</v>
      </c>
      <c r="H8" s="503">
        <f t="shared" si="1"/>
        <v>0</v>
      </c>
      <c r="I8"/>
      <c r="J8"/>
      <c r="K8"/>
      <c r="L8"/>
      <c r="M8"/>
      <c r="N8"/>
      <c r="O8"/>
      <c r="P8"/>
      <c r="Q8"/>
      <c r="R8"/>
    </row>
    <row r="9" spans="1:18" hidden="1" outlineLevel="1" x14ac:dyDescent="0.35">
      <c r="A9" s="674" t="s">
        <v>278</v>
      </c>
      <c r="B9" s="672" t="s">
        <v>547</v>
      </c>
      <c r="C9" s="675">
        <f>SUM(C10:C13)</f>
        <v>75.228320000000011</v>
      </c>
      <c r="D9" s="677"/>
      <c r="E9" s="675">
        <f>SUM(E10:E13)</f>
        <v>4722.8339296000013</v>
      </c>
      <c r="F9" s="505">
        <f>SUM(F10:F13)</f>
        <v>3320.0338304085685</v>
      </c>
      <c r="G9" s="505">
        <f>SUM(G10:G13)</f>
        <v>1402.8000991914323</v>
      </c>
      <c r="H9" s="503">
        <f t="shared" si="1"/>
        <v>1.0487309104112849E-2</v>
      </c>
      <c r="I9"/>
      <c r="J9"/>
      <c r="K9"/>
      <c r="L9"/>
      <c r="M9"/>
      <c r="N9"/>
      <c r="O9"/>
      <c r="P9"/>
      <c r="Q9"/>
      <c r="R9"/>
    </row>
    <row r="10" spans="1:18" hidden="1" outlineLevel="1" x14ac:dyDescent="0.35">
      <c r="A10" s="676" t="s">
        <v>477</v>
      </c>
      <c r="B10" s="672" t="s">
        <v>547</v>
      </c>
      <c r="C10" s="717">
        <f>Eeldused50!C14*(Eeldused50!C36*Ruumid!B36)/1000</f>
        <v>52.883622657033584</v>
      </c>
      <c r="D10" s="677"/>
      <c r="E10" s="675">
        <f>C10*Eeldused50!$C$4</f>
        <v>3320.0338304085685</v>
      </c>
      <c r="F10" s="505">
        <f>E10</f>
        <v>3320.0338304085685</v>
      </c>
      <c r="G10" s="505">
        <f>E10-F10</f>
        <v>0</v>
      </c>
      <c r="H10" s="503">
        <f t="shared" si="1"/>
        <v>0</v>
      </c>
      <c r="I10"/>
      <c r="J10"/>
      <c r="K10"/>
      <c r="L10"/>
      <c r="M10"/>
      <c r="N10"/>
      <c r="O10"/>
      <c r="P10"/>
      <c r="Q10"/>
      <c r="R10"/>
    </row>
    <row r="11" spans="1:18" ht="17.25" hidden="1" customHeight="1" outlineLevel="1" x14ac:dyDescent="0.35">
      <c r="A11" s="678" t="s">
        <v>478</v>
      </c>
      <c r="B11" s="672" t="s">
        <v>547</v>
      </c>
      <c r="C11" s="717">
        <f>Eeldused50!D14*(Eeldused50!D36*Ruumid!B36)/1000</f>
        <v>22.344697342966427</v>
      </c>
      <c r="D11" s="677"/>
      <c r="E11" s="675">
        <f>C11*Eeldused50!$C$4</f>
        <v>1402.8000991914323</v>
      </c>
      <c r="F11" s="505"/>
      <c r="G11" s="505">
        <f>E11</f>
        <v>1402.8000991914323</v>
      </c>
      <c r="H11" s="503">
        <f t="shared" si="1"/>
        <v>1.0487309104112849E-2</v>
      </c>
      <c r="I11"/>
      <c r="J11"/>
      <c r="K11"/>
      <c r="L11"/>
      <c r="M11"/>
      <c r="N11"/>
      <c r="O11"/>
      <c r="P11"/>
      <c r="Q11"/>
      <c r="R11"/>
    </row>
    <row r="12" spans="1:18" ht="14.25" hidden="1" customHeight="1" outlineLevel="1" x14ac:dyDescent="0.35">
      <c r="A12" s="676"/>
      <c r="B12" s="672"/>
      <c r="C12" s="675"/>
      <c r="D12" s="677"/>
      <c r="E12" s="675"/>
      <c r="F12" s="506"/>
      <c r="G12" s="507"/>
      <c r="H12" s="503"/>
      <c r="I12"/>
      <c r="J12"/>
      <c r="K12"/>
      <c r="L12"/>
      <c r="M12"/>
      <c r="N12"/>
      <c r="O12"/>
      <c r="P12"/>
      <c r="Q12"/>
      <c r="R12"/>
    </row>
    <row r="13" spans="1:18" hidden="1" outlineLevel="1" x14ac:dyDescent="0.35">
      <c r="A13" s="676"/>
      <c r="B13" s="672"/>
      <c r="C13" s="675"/>
      <c r="D13" s="677"/>
      <c r="E13" s="675"/>
      <c r="F13" s="506"/>
      <c r="G13" s="507"/>
      <c r="H13" s="503"/>
      <c r="I13"/>
      <c r="J13"/>
      <c r="K13"/>
      <c r="L13"/>
      <c r="M13"/>
      <c r="N13"/>
      <c r="O13"/>
      <c r="P13"/>
      <c r="Q13"/>
      <c r="R13"/>
    </row>
    <row r="14" spans="1:18" collapsed="1" x14ac:dyDescent="0.35">
      <c r="A14" s="636" t="s">
        <v>287</v>
      </c>
      <c r="B14" s="672" t="s">
        <v>479</v>
      </c>
      <c r="C14" s="671">
        <f>C15+C17</f>
        <v>4226.5500000000011</v>
      </c>
      <c r="D14" s="673"/>
      <c r="E14" s="671">
        <f>E15+E17</f>
        <v>811.49760000000026</v>
      </c>
      <c r="F14" s="504">
        <f>F15+F17</f>
        <v>656.48635022524456</v>
      </c>
      <c r="G14" s="504">
        <f>G15+G17</f>
        <v>155.0112497747557</v>
      </c>
      <c r="H14" s="508">
        <f t="shared" ref="H14:H39" si="2">G14/$G$62</f>
        <v>1.1588614029466664E-3</v>
      </c>
      <c r="I14"/>
      <c r="J14"/>
      <c r="K14"/>
      <c r="L14"/>
      <c r="M14"/>
      <c r="N14"/>
      <c r="O14"/>
      <c r="P14"/>
      <c r="Q14"/>
      <c r="R14"/>
    </row>
    <row r="15" spans="1:18" outlineLevel="1" x14ac:dyDescent="0.35">
      <c r="A15" s="674" t="str">
        <f>A6</f>
        <v>Stuudio</v>
      </c>
      <c r="B15" s="672" t="s">
        <v>480</v>
      </c>
      <c r="C15" s="675">
        <f>C16</f>
        <v>0</v>
      </c>
      <c r="D15" s="677"/>
      <c r="E15" s="675">
        <f>E16</f>
        <v>0</v>
      </c>
      <c r="F15" s="505">
        <f>F16</f>
        <v>0</v>
      </c>
      <c r="G15" s="505">
        <f>G16</f>
        <v>0</v>
      </c>
      <c r="H15" s="508">
        <f t="shared" si="2"/>
        <v>0</v>
      </c>
      <c r="I15"/>
      <c r="J15"/>
      <c r="K15"/>
      <c r="L15"/>
      <c r="M15"/>
      <c r="N15"/>
      <c r="O15"/>
      <c r="P15"/>
      <c r="Q15"/>
      <c r="R15"/>
    </row>
    <row r="16" spans="1:18" outlineLevel="1" x14ac:dyDescent="0.35">
      <c r="A16" s="676" t="s">
        <v>477</v>
      </c>
      <c r="B16" s="672" t="s">
        <v>480</v>
      </c>
      <c r="C16" s="675">
        <f>Eeldused50!C16*Eeldused50!H42*(Eeldused50!C25*Eeldused50!C34)/1000</f>
        <v>0</v>
      </c>
      <c r="D16" s="677"/>
      <c r="E16" s="675">
        <f>C16*Eeldused50!C5</f>
        <v>0</v>
      </c>
      <c r="F16" s="505">
        <f>E16</f>
        <v>0</v>
      </c>
      <c r="G16" s="505"/>
      <c r="H16" s="508">
        <f t="shared" si="2"/>
        <v>0</v>
      </c>
      <c r="I16"/>
      <c r="J16"/>
      <c r="K16"/>
      <c r="L16"/>
      <c r="M16"/>
      <c r="N16"/>
      <c r="O16"/>
      <c r="P16"/>
      <c r="Q16"/>
      <c r="R16"/>
    </row>
    <row r="17" spans="1:18" outlineLevel="1" x14ac:dyDescent="0.35">
      <c r="A17" s="674" t="str">
        <f>A9</f>
        <v>Inkubaator</v>
      </c>
      <c r="B17" s="672" t="s">
        <v>480</v>
      </c>
      <c r="C17" s="675">
        <f>SUM(C18:C19)</f>
        <v>4226.5500000000011</v>
      </c>
      <c r="D17" s="677"/>
      <c r="E17" s="675">
        <f>SUM(E18:E19)</f>
        <v>811.49760000000026</v>
      </c>
      <c r="F17" s="505">
        <f>SUM(F18:F19)</f>
        <v>656.48635022524456</v>
      </c>
      <c r="G17" s="505">
        <f>SUM(G18:G19)</f>
        <v>155.0112497747557</v>
      </c>
      <c r="H17" s="508">
        <f t="shared" si="2"/>
        <v>1.1588614029466664E-3</v>
      </c>
      <c r="I17"/>
      <c r="J17"/>
      <c r="K17"/>
      <c r="L17"/>
      <c r="M17"/>
      <c r="N17"/>
      <c r="O17"/>
      <c r="P17"/>
      <c r="Q17"/>
      <c r="R17"/>
    </row>
    <row r="18" spans="1:18" outlineLevel="1" x14ac:dyDescent="0.35">
      <c r="A18" s="676" t="s">
        <v>477</v>
      </c>
      <c r="B18" s="672" t="s">
        <v>480</v>
      </c>
      <c r="C18" s="675">
        <f>Eeldused50!C17*Eeldused50!H43*(Eeldused50!C27*Eeldused50!C36)/1000</f>
        <v>3419.1997407564818</v>
      </c>
      <c r="D18" s="677"/>
      <c r="E18" s="675">
        <f>C18*Eeldused50!$C$5</f>
        <v>656.48635022524456</v>
      </c>
      <c r="F18" s="505">
        <f>E18</f>
        <v>656.48635022524456</v>
      </c>
      <c r="G18" s="505"/>
      <c r="H18" s="508">
        <f t="shared" si="2"/>
        <v>0</v>
      </c>
      <c r="I18"/>
      <c r="J18"/>
      <c r="K18"/>
      <c r="L18"/>
      <c r="M18"/>
      <c r="N18"/>
      <c r="O18"/>
      <c r="P18"/>
      <c r="Q18"/>
      <c r="R18"/>
    </row>
    <row r="19" spans="1:18" outlineLevel="1" x14ac:dyDescent="0.35">
      <c r="A19" s="678" t="s">
        <v>481</v>
      </c>
      <c r="B19" s="672" t="s">
        <v>480</v>
      </c>
      <c r="C19" s="675">
        <f>Eeldused50!C17*Eeldused50!H43*(Eeldused50!C27*Eeldused50!D36-Eeldused50!E27)/1000</f>
        <v>807.35025924351919</v>
      </c>
      <c r="D19" s="677"/>
      <c r="E19" s="675">
        <f>C19*Eeldused50!C5</f>
        <v>155.0112497747557</v>
      </c>
      <c r="F19" s="505"/>
      <c r="G19" s="505">
        <f>E19-F19</f>
        <v>155.0112497747557</v>
      </c>
      <c r="H19" s="508">
        <f t="shared" si="2"/>
        <v>1.1588614029466664E-3</v>
      </c>
      <c r="I19"/>
      <c r="J19"/>
      <c r="K19"/>
      <c r="L19"/>
      <c r="M19"/>
      <c r="N19"/>
      <c r="O19"/>
      <c r="P19"/>
      <c r="Q19"/>
      <c r="R19"/>
    </row>
    <row r="20" spans="1:18" x14ac:dyDescent="0.35">
      <c r="A20" s="636" t="s">
        <v>397</v>
      </c>
      <c r="B20" s="637" t="s">
        <v>387</v>
      </c>
      <c r="C20" s="671">
        <f>SUM(C21:C22)</f>
        <v>1042.0830000000003</v>
      </c>
      <c r="D20" s="671"/>
      <c r="E20" s="671">
        <f>C20*Eeldused50!C8+C21*Eeldused50!C6+C22*Eeldused50!C20</f>
        <v>2909.4957360000008</v>
      </c>
      <c r="F20" s="491">
        <f>E20*Eeldused50!C38</f>
        <v>2045.302548626265</v>
      </c>
      <c r="G20" s="492">
        <f>E20*Eeldused50!D38</f>
        <v>864.1931873737359</v>
      </c>
      <c r="H20" s="508">
        <f t="shared" si="2"/>
        <v>6.4606932141513165E-3</v>
      </c>
      <c r="I20"/>
      <c r="J20"/>
      <c r="K20"/>
      <c r="L20"/>
      <c r="M20"/>
      <c r="N20"/>
      <c r="O20"/>
      <c r="P20"/>
      <c r="Q20"/>
      <c r="R20"/>
    </row>
    <row r="21" spans="1:18" outlineLevel="1" x14ac:dyDescent="0.35">
      <c r="A21" s="676" t="s">
        <v>398</v>
      </c>
      <c r="B21" s="637" t="s">
        <v>387</v>
      </c>
      <c r="C21" s="671">
        <f>Eeldused50!C19*Eeldused50!C49*12</f>
        <v>625.24980000000016</v>
      </c>
      <c r="D21" s="671"/>
      <c r="E21" s="671"/>
      <c r="F21" s="490"/>
      <c r="G21" s="490"/>
      <c r="H21" s="508">
        <f t="shared" si="2"/>
        <v>0</v>
      </c>
      <c r="I21"/>
      <c r="J21"/>
      <c r="K21"/>
      <c r="L21"/>
      <c r="M21"/>
      <c r="N21"/>
      <c r="O21"/>
      <c r="P21"/>
      <c r="Q21"/>
      <c r="R21"/>
    </row>
    <row r="22" spans="1:18" outlineLevel="1" x14ac:dyDescent="0.35">
      <c r="A22" s="676" t="s">
        <v>399</v>
      </c>
      <c r="B22" s="637" t="s">
        <v>387</v>
      </c>
      <c r="C22" s="671">
        <f>Eeldused50!C20*Eeldused50!C49*12</f>
        <v>416.83320000000009</v>
      </c>
      <c r="D22" s="671"/>
      <c r="E22" s="671"/>
      <c r="F22" s="490"/>
      <c r="G22" s="490"/>
      <c r="H22" s="508">
        <f t="shared" si="2"/>
        <v>0</v>
      </c>
      <c r="I22"/>
      <c r="J22"/>
      <c r="K22"/>
      <c r="L22"/>
      <c r="M22"/>
      <c r="N22"/>
      <c r="O22"/>
      <c r="P22"/>
      <c r="Q22"/>
      <c r="R22"/>
    </row>
    <row r="23" spans="1:18" x14ac:dyDescent="0.35">
      <c r="A23" s="636"/>
      <c r="B23" s="637"/>
      <c r="C23" s="671"/>
      <c r="D23" s="597"/>
      <c r="E23" s="671"/>
      <c r="F23" s="506"/>
      <c r="G23" s="507"/>
      <c r="H23" s="503">
        <f t="shared" si="2"/>
        <v>0</v>
      </c>
      <c r="I23"/>
      <c r="J23"/>
      <c r="K23"/>
      <c r="L23"/>
      <c r="M23"/>
      <c r="N23"/>
      <c r="O23"/>
      <c r="P23"/>
      <c r="Q23"/>
      <c r="R23"/>
    </row>
    <row r="24" spans="1:18" x14ac:dyDescent="0.35">
      <c r="A24" s="604"/>
      <c r="B24" s="672"/>
      <c r="C24" s="671"/>
      <c r="D24" s="597"/>
      <c r="E24" s="671"/>
      <c r="F24" s="509"/>
      <c r="G24" s="507"/>
      <c r="H24" s="503">
        <f t="shared" si="2"/>
        <v>0</v>
      </c>
      <c r="I24"/>
      <c r="J24"/>
      <c r="K24"/>
      <c r="L24"/>
      <c r="M24"/>
      <c r="N24"/>
      <c r="O24"/>
      <c r="P24"/>
      <c r="Q24"/>
      <c r="R24"/>
    </row>
    <row r="25" spans="1:18" ht="29.25" customHeight="1" x14ac:dyDescent="0.35">
      <c r="A25" s="637" t="s">
        <v>409</v>
      </c>
      <c r="B25" s="636"/>
      <c r="C25" s="673"/>
      <c r="D25" s="671">
        <f>SUM(D26:D28)</f>
        <v>5655.7260000000006</v>
      </c>
      <c r="E25" s="671">
        <f>SUM(E26:E28)</f>
        <v>67868.712</v>
      </c>
      <c r="F25" s="509">
        <f>SUM(F26:F28)</f>
        <v>0</v>
      </c>
      <c r="G25" s="493">
        <f>SUM(G26:G28)</f>
        <v>67868.712</v>
      </c>
      <c r="H25" s="503">
        <f t="shared" si="2"/>
        <v>0.50738530860688436</v>
      </c>
      <c r="I25"/>
      <c r="J25"/>
      <c r="L25"/>
      <c r="M25"/>
      <c r="N25"/>
      <c r="O25"/>
      <c r="P25"/>
      <c r="Q25"/>
      <c r="R25"/>
    </row>
    <row r="26" spans="1:18" ht="17.5" hidden="1" customHeight="1" outlineLevel="1" x14ac:dyDescent="0.35">
      <c r="A26" s="636" t="s">
        <v>395</v>
      </c>
      <c r="B26" s="679" t="s">
        <v>549</v>
      </c>
      <c r="C26" s="671">
        <v>2818</v>
      </c>
      <c r="D26" s="671">
        <f>C26*1.338*K26</f>
        <v>1885.2420000000002</v>
      </c>
      <c r="E26" s="671">
        <f>D26*12</f>
        <v>22622.904000000002</v>
      </c>
      <c r="F26" s="510"/>
      <c r="G26" s="493">
        <f>E26</f>
        <v>22622.904000000002</v>
      </c>
      <c r="H26" s="503">
        <f t="shared" si="2"/>
        <v>0.16912843620229481</v>
      </c>
      <c r="I26"/>
      <c r="J26" t="s">
        <v>494</v>
      </c>
      <c r="K26" s="694">
        <v>0.5</v>
      </c>
      <c r="L26"/>
      <c r="M26"/>
      <c r="N26"/>
      <c r="O26"/>
      <c r="P26"/>
      <c r="Q26"/>
      <c r="R26"/>
    </row>
    <row r="27" spans="1:18" ht="26.25" hidden="1" customHeight="1" outlineLevel="1" x14ac:dyDescent="0.35">
      <c r="A27" s="636" t="s">
        <v>396</v>
      </c>
      <c r="B27" s="679" t="s">
        <v>549</v>
      </c>
      <c r="C27" s="671">
        <v>2818</v>
      </c>
      <c r="D27" s="671">
        <f>C27*1.338*K27</f>
        <v>1885.2420000000002</v>
      </c>
      <c r="E27" s="671">
        <f>D27*12</f>
        <v>22622.904000000002</v>
      </c>
      <c r="F27" s="510"/>
      <c r="G27" s="493">
        <f>E27</f>
        <v>22622.904000000002</v>
      </c>
      <c r="H27" s="503">
        <f t="shared" si="2"/>
        <v>0.16912843620229481</v>
      </c>
      <c r="I27"/>
      <c r="J27"/>
      <c r="K27" s="694">
        <v>0.5</v>
      </c>
      <c r="L27"/>
      <c r="M27"/>
      <c r="N27"/>
      <c r="O27"/>
      <c r="P27"/>
      <c r="Q27"/>
      <c r="R27"/>
    </row>
    <row r="28" spans="1:18" ht="13.5" hidden="1" customHeight="1" outlineLevel="1" x14ac:dyDescent="0.35">
      <c r="A28" s="636" t="s">
        <v>504</v>
      </c>
      <c r="B28" s="679" t="s">
        <v>549</v>
      </c>
      <c r="C28" s="671">
        <v>2818</v>
      </c>
      <c r="D28" s="671">
        <f>C28*1.338*K28</f>
        <v>1885.2420000000002</v>
      </c>
      <c r="E28" s="671">
        <f>D28*12</f>
        <v>22622.904000000002</v>
      </c>
      <c r="F28" s="510"/>
      <c r="G28" s="493">
        <f>E28</f>
        <v>22622.904000000002</v>
      </c>
      <c r="H28" s="503">
        <f t="shared" si="2"/>
        <v>0.16912843620229481</v>
      </c>
      <c r="I28"/>
      <c r="J28"/>
      <c r="K28" s="694">
        <v>0.5</v>
      </c>
      <c r="L28"/>
      <c r="M28"/>
      <c r="N28"/>
      <c r="O28"/>
      <c r="P28"/>
      <c r="Q28"/>
      <c r="R28"/>
    </row>
    <row r="29" spans="1:18" collapsed="1" x14ac:dyDescent="0.35">
      <c r="A29" s="637" t="s">
        <v>407</v>
      </c>
      <c r="B29" s="680"/>
      <c r="C29" s="681"/>
      <c r="D29" s="671">
        <f>E29/12</f>
        <v>450</v>
      </c>
      <c r="E29" s="681">
        <f>SUM(E30:E30)</f>
        <v>5400</v>
      </c>
      <c r="F29" s="509">
        <f>SUM(F30:F30)</f>
        <v>0</v>
      </c>
      <c r="G29" s="493">
        <f>SUM(G30:G30)</f>
        <v>5400</v>
      </c>
      <c r="H29" s="503">
        <f t="shared" si="2"/>
        <v>4.0370305929441769E-2</v>
      </c>
      <c r="I29"/>
      <c r="J29"/>
      <c r="K29"/>
      <c r="L29"/>
      <c r="M29"/>
      <c r="N29"/>
      <c r="O29"/>
      <c r="P29"/>
      <c r="Q29"/>
      <c r="R29"/>
    </row>
    <row r="30" spans="1:18" hidden="1" outlineLevel="1" x14ac:dyDescent="0.35">
      <c r="A30" s="636" t="s">
        <v>408</v>
      </c>
      <c r="B30" s="637"/>
      <c r="C30" s="671"/>
      <c r="D30" s="698">
        <v>450</v>
      </c>
      <c r="E30" s="671">
        <f>D30*12</f>
        <v>5400</v>
      </c>
      <c r="F30" s="510"/>
      <c r="G30" s="509">
        <f>E30</f>
        <v>5400</v>
      </c>
      <c r="H30" s="503">
        <f t="shared" si="2"/>
        <v>4.0370305929441769E-2</v>
      </c>
      <c r="I30"/>
      <c r="J30"/>
      <c r="K30"/>
      <c r="L30"/>
      <c r="M30"/>
      <c r="N30"/>
      <c r="O30"/>
      <c r="P30"/>
      <c r="Q30"/>
      <c r="R30"/>
    </row>
    <row r="31" spans="1:18" collapsed="1" x14ac:dyDescent="0.35">
      <c r="A31" s="637" t="s">
        <v>400</v>
      </c>
      <c r="B31" s="637"/>
      <c r="C31" s="671"/>
      <c r="D31" s="671">
        <f>E31/12</f>
        <v>700</v>
      </c>
      <c r="E31" s="671">
        <f>E32+E33</f>
        <v>8400</v>
      </c>
      <c r="F31" s="509">
        <f>SUM(F32:F33)</f>
        <v>0</v>
      </c>
      <c r="G31" s="509">
        <f>SUM(G32:G33)</f>
        <v>8400</v>
      </c>
      <c r="H31" s="503">
        <f t="shared" si="2"/>
        <v>6.2798253668020526E-2</v>
      </c>
      <c r="I31"/>
      <c r="J31"/>
      <c r="K31"/>
      <c r="L31"/>
      <c r="M31"/>
      <c r="N31"/>
      <c r="O31"/>
      <c r="P31"/>
      <c r="Q31"/>
      <c r="R31"/>
    </row>
    <row r="32" spans="1:18" ht="22" hidden="1" outlineLevel="1" x14ac:dyDescent="0.35">
      <c r="A32" s="636" t="s">
        <v>288</v>
      </c>
      <c r="B32" s="679" t="s">
        <v>289</v>
      </c>
      <c r="C32" s="671"/>
      <c r="D32" s="698">
        <v>500</v>
      </c>
      <c r="E32" s="671">
        <f>D32*12</f>
        <v>6000</v>
      </c>
      <c r="F32" s="510"/>
      <c r="G32" s="509">
        <f>E32</f>
        <v>6000</v>
      </c>
      <c r="H32" s="503">
        <f t="shared" si="2"/>
        <v>4.4855895477157522E-2</v>
      </c>
      <c r="I32"/>
      <c r="J32"/>
      <c r="K32"/>
      <c r="L32"/>
      <c r="M32"/>
      <c r="N32"/>
      <c r="O32"/>
      <c r="P32"/>
      <c r="Q32"/>
      <c r="R32"/>
    </row>
    <row r="33" spans="1:18" ht="29" hidden="1" outlineLevel="1" x14ac:dyDescent="0.35">
      <c r="A33" s="636" t="s">
        <v>290</v>
      </c>
      <c r="B33" s="637"/>
      <c r="C33" s="671"/>
      <c r="D33" s="698">
        <v>200</v>
      </c>
      <c r="E33" s="671">
        <f>D33*12</f>
        <v>2400</v>
      </c>
      <c r="F33" s="510"/>
      <c r="G33" s="509">
        <f>E33</f>
        <v>2400</v>
      </c>
      <c r="H33" s="503">
        <f t="shared" si="2"/>
        <v>1.7942358190863008E-2</v>
      </c>
      <c r="I33"/>
      <c r="J33"/>
      <c r="K33"/>
      <c r="L33"/>
      <c r="M33"/>
      <c r="N33"/>
      <c r="O33"/>
      <c r="P33"/>
      <c r="Q33"/>
      <c r="R33"/>
    </row>
    <row r="34" spans="1:18" collapsed="1" x14ac:dyDescent="0.35">
      <c r="A34" s="636"/>
      <c r="B34" s="637"/>
      <c r="C34" s="671"/>
      <c r="D34" s="671"/>
      <c r="E34" s="671"/>
      <c r="F34" s="510"/>
      <c r="G34" s="509"/>
      <c r="H34" s="503">
        <f t="shared" si="2"/>
        <v>0</v>
      </c>
      <c r="I34"/>
      <c r="J34"/>
      <c r="K34"/>
      <c r="L34"/>
      <c r="M34"/>
      <c r="N34"/>
      <c r="O34"/>
      <c r="P34"/>
      <c r="Q34"/>
      <c r="R34"/>
    </row>
    <row r="35" spans="1:18" x14ac:dyDescent="0.35">
      <c r="A35" s="636"/>
      <c r="B35" s="637"/>
      <c r="C35" s="671"/>
      <c r="D35" s="671"/>
      <c r="E35" s="671"/>
      <c r="F35" s="510"/>
      <c r="G35" s="509"/>
      <c r="H35" s="503">
        <f t="shared" si="2"/>
        <v>0</v>
      </c>
      <c r="I35"/>
      <c r="J35"/>
      <c r="K35"/>
      <c r="L35"/>
      <c r="M35"/>
      <c r="N35"/>
      <c r="O35"/>
      <c r="P35"/>
      <c r="Q35"/>
      <c r="R35"/>
    </row>
    <row r="36" spans="1:18" x14ac:dyDescent="0.35">
      <c r="A36" s="637" t="s">
        <v>401</v>
      </c>
      <c r="B36" s="637"/>
      <c r="C36" s="671"/>
      <c r="D36" s="671">
        <f>E36/12</f>
        <v>3000</v>
      </c>
      <c r="E36" s="671">
        <f>SUM(E37:E42)</f>
        <v>36000</v>
      </c>
      <c r="F36" s="510">
        <f t="shared" ref="F36:G36" si="3">SUM(F37:F42)</f>
        <v>0</v>
      </c>
      <c r="G36" s="509">
        <f t="shared" si="3"/>
        <v>36000</v>
      </c>
      <c r="H36" s="503">
        <f t="shared" si="2"/>
        <v>0.26913537286294509</v>
      </c>
      <c r="I36"/>
      <c r="J36"/>
      <c r="K36"/>
      <c r="L36"/>
      <c r="M36"/>
      <c r="N36"/>
      <c r="O36"/>
      <c r="P36"/>
      <c r="Q36"/>
      <c r="R36"/>
    </row>
    <row r="37" spans="1:18" ht="29" hidden="1" x14ac:dyDescent="0.35">
      <c r="A37" s="636" t="s">
        <v>291</v>
      </c>
      <c r="B37" s="637"/>
      <c r="C37" s="671"/>
      <c r="D37" s="671"/>
      <c r="E37" s="671">
        <v>36000</v>
      </c>
      <c r="F37" s="510"/>
      <c r="G37" s="509">
        <f>E37</f>
        <v>36000</v>
      </c>
      <c r="H37" s="503">
        <f t="shared" si="2"/>
        <v>0.26913537286294509</v>
      </c>
      <c r="I37"/>
      <c r="J37"/>
      <c r="K37"/>
      <c r="L37"/>
      <c r="M37"/>
      <c r="N37"/>
      <c r="O37"/>
      <c r="P37"/>
      <c r="Q37"/>
      <c r="R37"/>
    </row>
    <row r="38" spans="1:18" hidden="1" x14ac:dyDescent="0.35">
      <c r="A38" s="636"/>
      <c r="B38" s="637"/>
      <c r="C38" s="671"/>
      <c r="D38" s="671"/>
      <c r="E38" s="671"/>
      <c r="F38" s="510"/>
      <c r="G38" s="509"/>
      <c r="H38" s="503">
        <f t="shared" si="2"/>
        <v>0</v>
      </c>
      <c r="I38"/>
      <c r="J38"/>
      <c r="K38"/>
      <c r="L38"/>
      <c r="M38"/>
      <c r="N38"/>
      <c r="O38"/>
      <c r="P38"/>
      <c r="Q38"/>
      <c r="R38"/>
    </row>
    <row r="39" spans="1:18" hidden="1" x14ac:dyDescent="0.35">
      <c r="A39" s="636"/>
      <c r="B39" s="637"/>
      <c r="C39" s="671"/>
      <c r="D39" s="671"/>
      <c r="E39" s="671"/>
      <c r="F39" s="510"/>
      <c r="G39" s="509"/>
      <c r="H39" s="503">
        <f t="shared" si="2"/>
        <v>0</v>
      </c>
      <c r="I39"/>
      <c r="J39"/>
      <c r="K39"/>
      <c r="L39"/>
      <c r="M39"/>
      <c r="N39"/>
      <c r="O39"/>
      <c r="P39"/>
      <c r="Q39"/>
      <c r="R39"/>
    </row>
    <row r="40" spans="1:18" hidden="1" x14ac:dyDescent="0.35">
      <c r="A40" s="636"/>
      <c r="B40" s="637"/>
      <c r="C40" s="671"/>
      <c r="D40" s="671"/>
      <c r="E40" s="671"/>
      <c r="F40" s="510"/>
      <c r="G40" s="509"/>
      <c r="H40" s="503"/>
      <c r="I40"/>
      <c r="J40"/>
      <c r="K40"/>
      <c r="L40"/>
      <c r="M40"/>
      <c r="N40"/>
      <c r="O40"/>
      <c r="P40"/>
      <c r="Q40"/>
      <c r="R40"/>
    </row>
    <row r="41" spans="1:18" hidden="1" x14ac:dyDescent="0.35">
      <c r="A41" s="636"/>
      <c r="B41" s="637"/>
      <c r="C41" s="671"/>
      <c r="D41" s="671"/>
      <c r="E41" s="671"/>
      <c r="F41" s="510"/>
      <c r="G41" s="509"/>
      <c r="H41" s="503"/>
      <c r="I41"/>
      <c r="J41"/>
      <c r="K41"/>
      <c r="L41"/>
      <c r="M41"/>
      <c r="N41"/>
      <c r="O41"/>
      <c r="P41"/>
      <c r="Q41"/>
      <c r="R41"/>
    </row>
    <row r="42" spans="1:18" hidden="1" x14ac:dyDescent="0.35">
      <c r="A42" s="636"/>
      <c r="B42" s="637"/>
      <c r="C42" s="671"/>
      <c r="D42" s="671"/>
      <c r="E42" s="671"/>
      <c r="F42" s="510"/>
      <c r="G42" s="509"/>
      <c r="H42" s="503"/>
      <c r="I42"/>
      <c r="J42"/>
      <c r="K42"/>
      <c r="L42"/>
      <c r="M42"/>
      <c r="N42"/>
      <c r="O42"/>
      <c r="P42"/>
      <c r="Q42"/>
      <c r="R42"/>
    </row>
    <row r="43" spans="1:18" x14ac:dyDescent="0.35">
      <c r="A43" s="637" t="s">
        <v>464</v>
      </c>
      <c r="B43" s="637"/>
      <c r="C43" s="671"/>
      <c r="D43" s="671">
        <f>E43/12</f>
        <v>760</v>
      </c>
      <c r="E43" s="671">
        <f>SUM(E44:E47)</f>
        <v>9120</v>
      </c>
      <c r="F43" s="511">
        <f>SUM(F44:F47)</f>
        <v>6411.1313217169572</v>
      </c>
      <c r="G43" s="509">
        <f>SUM(G44:G47)</f>
        <v>2708.8686782830432</v>
      </c>
      <c r="H43" s="503"/>
      <c r="I43"/>
      <c r="J43"/>
      <c r="K43"/>
      <c r="L43"/>
      <c r="M43"/>
      <c r="N43"/>
      <c r="O43"/>
      <c r="P43"/>
      <c r="Q43"/>
      <c r="R43"/>
    </row>
    <row r="44" spans="1:18" ht="32.5" hidden="1" outlineLevel="1" x14ac:dyDescent="0.35">
      <c r="A44" s="636" t="s">
        <v>292</v>
      </c>
      <c r="B44" s="679" t="s">
        <v>495</v>
      </c>
      <c r="C44" s="671"/>
      <c r="D44" s="671">
        <f>ROUND(8*8*10+700/12,-1)*1</f>
        <v>700</v>
      </c>
      <c r="E44" s="671">
        <f>D44*12</f>
        <v>8400</v>
      </c>
      <c r="F44" s="506">
        <f>E44*Eeldused50!$C$38</f>
        <v>5904.9893752656189</v>
      </c>
      <c r="G44" s="506">
        <f>E44*Eeldused50!$D$38</f>
        <v>2495.010624734382</v>
      </c>
      <c r="H44" s="503">
        <f>G44/$G$62</f>
        <v>1.8652655966247152E-2</v>
      </c>
      <c r="I44"/>
      <c r="J44"/>
      <c r="K44"/>
      <c r="L44"/>
      <c r="M44"/>
      <c r="N44"/>
      <c r="O44"/>
      <c r="P44"/>
      <c r="Q44"/>
      <c r="R44"/>
    </row>
    <row r="45" spans="1:18" hidden="1" outlineLevel="1" x14ac:dyDescent="0.35">
      <c r="A45" s="636" t="s">
        <v>293</v>
      </c>
      <c r="B45" s="637"/>
      <c r="C45" s="671"/>
      <c r="D45" s="597">
        <v>60</v>
      </c>
      <c r="E45" s="671">
        <f>D45*12</f>
        <v>720</v>
      </c>
      <c r="F45" s="506">
        <f>E45*Eeldused50!$C$38</f>
        <v>506.14194645133875</v>
      </c>
      <c r="G45" s="506">
        <f>E45*Eeldused50!$D$38</f>
        <v>213.8580535486613</v>
      </c>
      <c r="H45" s="503">
        <f>G45/$G$62</f>
        <v>1.5987990828211845E-3</v>
      </c>
      <c r="I45"/>
      <c r="J45"/>
      <c r="K45"/>
      <c r="L45"/>
      <c r="M45"/>
      <c r="N45"/>
      <c r="O45"/>
      <c r="P45"/>
      <c r="Q45"/>
      <c r="R45"/>
    </row>
    <row r="46" spans="1:18" hidden="1" outlineLevel="1" x14ac:dyDescent="0.35">
      <c r="A46" s="636" t="s">
        <v>294</v>
      </c>
      <c r="B46" s="637"/>
      <c r="C46" s="671"/>
      <c r="D46" s="671"/>
      <c r="E46" s="671"/>
      <c r="F46" s="510"/>
      <c r="G46" s="509"/>
      <c r="H46" s="503"/>
      <c r="I46"/>
      <c r="J46"/>
      <c r="K46"/>
      <c r="L46"/>
      <c r="M46"/>
      <c r="N46"/>
      <c r="O46"/>
      <c r="P46"/>
      <c r="Q46"/>
      <c r="R46"/>
    </row>
    <row r="47" spans="1:18" collapsed="1" x14ac:dyDescent="0.35">
      <c r="A47" s="636"/>
      <c r="B47" s="637"/>
      <c r="C47" s="671"/>
      <c r="D47" s="671"/>
      <c r="E47" s="671"/>
      <c r="F47" s="510"/>
      <c r="G47" s="509"/>
      <c r="H47" s="503"/>
      <c r="I47"/>
      <c r="J47"/>
      <c r="K47"/>
      <c r="L47"/>
      <c r="M47"/>
      <c r="N47"/>
      <c r="O47"/>
      <c r="P47"/>
      <c r="Q47"/>
      <c r="R47"/>
    </row>
    <row r="48" spans="1:18" ht="18" customHeight="1" x14ac:dyDescent="0.35">
      <c r="A48" s="637" t="s">
        <v>402</v>
      </c>
      <c r="B48" s="637"/>
      <c r="C48" s="671"/>
      <c r="D48" s="671">
        <f>E48/12</f>
        <v>538.91666666666663</v>
      </c>
      <c r="E48" s="671">
        <f>SUM(E49:E53)</f>
        <v>6467</v>
      </c>
      <c r="F48" s="511">
        <f>SUM(F49:F53)</f>
        <v>4546.1388440288993</v>
      </c>
      <c r="G48" s="509">
        <f>SUM(G49:G53)</f>
        <v>1920.8611559711007</v>
      </c>
      <c r="H48" s="503">
        <f>G48/$G$62</f>
        <v>1.436032453972861E-2</v>
      </c>
      <c r="I48"/>
      <c r="J48"/>
      <c r="K48"/>
      <c r="L48"/>
      <c r="M48"/>
      <c r="N48"/>
      <c r="O48"/>
      <c r="P48"/>
      <c r="Q48"/>
      <c r="R48"/>
    </row>
    <row r="49" spans="1:18" ht="22" hidden="1" outlineLevel="1" x14ac:dyDescent="0.35">
      <c r="A49" s="636" t="s">
        <v>295</v>
      </c>
      <c r="B49" s="679" t="s">
        <v>497</v>
      </c>
      <c r="C49" s="671"/>
      <c r="D49" s="671">
        <f>E49/12</f>
        <v>47.25</v>
      </c>
      <c r="E49" s="671">
        <f>13.5*6*7</f>
        <v>567</v>
      </c>
      <c r="F49" s="506">
        <f>E49*Eeldused50!$C$38</f>
        <v>398.58678283042929</v>
      </c>
      <c r="G49" s="506">
        <f>E49*Eeldused50!$D$38</f>
        <v>168.41321716957077</v>
      </c>
      <c r="H49" s="503">
        <f>G49/$G$62</f>
        <v>1.2590542777216828E-3</v>
      </c>
      <c r="I49"/>
      <c r="J49"/>
      <c r="K49"/>
      <c r="L49"/>
      <c r="M49"/>
      <c r="N49"/>
      <c r="O49"/>
      <c r="P49"/>
      <c r="Q49"/>
      <c r="R49"/>
    </row>
    <row r="50" spans="1:18" ht="22" hidden="1" outlineLevel="1" x14ac:dyDescent="0.35">
      <c r="A50" s="636" t="s">
        <v>296</v>
      </c>
      <c r="B50" s="679" t="s">
        <v>496</v>
      </c>
      <c r="C50" s="671">
        <v>300</v>
      </c>
      <c r="D50" s="671">
        <f>E50/12</f>
        <v>75</v>
      </c>
      <c r="E50" s="671">
        <f>C50*3</f>
        <v>900</v>
      </c>
      <c r="F50" s="506">
        <f>E50*Eeldused50!$C$38</f>
        <v>632.67743306417344</v>
      </c>
      <c r="G50" s="506">
        <f>E50*Eeldused50!$D$38</f>
        <v>267.32256693582661</v>
      </c>
      <c r="H50" s="503">
        <f>G50/$G$62</f>
        <v>1.9984988535264804E-3</v>
      </c>
      <c r="I50"/>
      <c r="J50"/>
      <c r="K50"/>
      <c r="L50"/>
      <c r="M50"/>
      <c r="N50"/>
      <c r="O50"/>
      <c r="P50"/>
      <c r="Q50"/>
      <c r="R50"/>
    </row>
    <row r="51" spans="1:18" hidden="1" outlineLevel="1" x14ac:dyDescent="0.35">
      <c r="A51" s="636" t="s">
        <v>297</v>
      </c>
      <c r="B51" s="637"/>
      <c r="C51" s="671"/>
      <c r="D51" s="671">
        <f>E51/12</f>
        <v>83.333333333333329</v>
      </c>
      <c r="E51" s="671">
        <v>1000</v>
      </c>
      <c r="F51" s="506">
        <f>E51*Eeldused50!$C$38</f>
        <v>702.97492562685932</v>
      </c>
      <c r="G51" s="506">
        <f>E51*Eeldused50!$D$38</f>
        <v>297.02507437314068</v>
      </c>
      <c r="H51" s="503">
        <f>G51/$G$62</f>
        <v>2.2205542816960896E-3</v>
      </c>
      <c r="I51"/>
      <c r="J51"/>
      <c r="K51" s="489"/>
      <c r="L51"/>
      <c r="M51"/>
      <c r="N51"/>
      <c r="O51"/>
      <c r="P51"/>
      <c r="Q51"/>
      <c r="R51"/>
    </row>
    <row r="52" spans="1:18" hidden="1" outlineLevel="1" x14ac:dyDescent="0.35">
      <c r="A52" s="636" t="s">
        <v>298</v>
      </c>
      <c r="B52" s="637"/>
      <c r="C52" s="671"/>
      <c r="D52" s="671">
        <f>E52/12</f>
        <v>333.33333333333331</v>
      </c>
      <c r="E52" s="671">
        <f>2000*2</f>
        <v>4000</v>
      </c>
      <c r="F52" s="506">
        <f>E52*Eeldused50!$C$38</f>
        <v>2811.8997025074373</v>
      </c>
      <c r="G52" s="506">
        <f>E52*Eeldused50!$D$38</f>
        <v>1188.1002974925627</v>
      </c>
      <c r="H52" s="503">
        <f>G52/$G$62</f>
        <v>8.8822171267843586E-3</v>
      </c>
      <c r="I52"/>
      <c r="J52"/>
      <c r="K52"/>
      <c r="L52"/>
      <c r="M52"/>
      <c r="N52"/>
      <c r="O52"/>
      <c r="P52"/>
      <c r="Q52"/>
      <c r="R52"/>
    </row>
    <row r="53" spans="1:18" hidden="1" outlineLevel="1" x14ac:dyDescent="0.35">
      <c r="A53" s="636"/>
      <c r="B53" s="637"/>
      <c r="C53" s="671"/>
      <c r="D53" s="671"/>
      <c r="E53" s="671"/>
      <c r="F53" s="506"/>
      <c r="G53" s="506"/>
      <c r="H53" s="503"/>
      <c r="I53"/>
      <c r="J53"/>
      <c r="K53"/>
      <c r="L53"/>
      <c r="M53"/>
      <c r="N53"/>
      <c r="O53"/>
      <c r="P53"/>
      <c r="Q53"/>
      <c r="R53"/>
    </row>
    <row r="54" spans="1:18" collapsed="1" x14ac:dyDescent="0.35">
      <c r="A54" s="637" t="s">
        <v>403</v>
      </c>
      <c r="B54" s="637"/>
      <c r="C54" s="671"/>
      <c r="D54" s="671">
        <v>400</v>
      </c>
      <c r="E54" s="671">
        <f>D54*12</f>
        <v>4800</v>
      </c>
      <c r="F54" s="506">
        <f>E54*Eeldused50!$C$38</f>
        <v>3374.2796430089252</v>
      </c>
      <c r="G54" s="506">
        <f>E54*Eeldused50!$D$38</f>
        <v>1425.7203569910753</v>
      </c>
      <c r="H54" s="503">
        <f t="shared" ref="H54:H59" si="4">G54/$G$62</f>
        <v>1.0658660552141229E-2</v>
      </c>
      <c r="I54"/>
      <c r="J54"/>
      <c r="K54"/>
      <c r="L54"/>
      <c r="M54"/>
      <c r="N54"/>
      <c r="O54"/>
      <c r="P54"/>
      <c r="Q54"/>
      <c r="R54"/>
    </row>
    <row r="55" spans="1:18" ht="30.75" customHeight="1" x14ac:dyDescent="0.35">
      <c r="A55" s="637" t="s">
        <v>404</v>
      </c>
      <c r="B55" s="637" t="s">
        <v>482</v>
      </c>
      <c r="C55" s="682">
        <v>1E-3</v>
      </c>
      <c r="D55" s="671">
        <f>E55/12</f>
        <v>420.22120833333338</v>
      </c>
      <c r="E55" s="671">
        <f>C55*'1. Projekti elluviimise kulud'!J13</f>
        <v>5042.6545000000006</v>
      </c>
      <c r="F55" s="510"/>
      <c r="G55" s="509">
        <f>E55</f>
        <v>5042.6545000000006</v>
      </c>
      <c r="H55" s="503">
        <f t="shared" si="4"/>
        <v>3.7698797196569669E-2</v>
      </c>
      <c r="I55"/>
      <c r="J55"/>
      <c r="K55"/>
      <c r="L55"/>
      <c r="M55"/>
      <c r="N55"/>
      <c r="O55"/>
      <c r="P55"/>
      <c r="Q55"/>
      <c r="R55"/>
    </row>
    <row r="56" spans="1:18" x14ac:dyDescent="0.35">
      <c r="A56" s="637" t="s">
        <v>405</v>
      </c>
      <c r="B56" s="637"/>
      <c r="C56" s="671"/>
      <c r="D56" s="671">
        <f>E56/12</f>
        <v>355</v>
      </c>
      <c r="E56" s="671">
        <f>SUM(E57:E61)</f>
        <v>4260</v>
      </c>
      <c r="F56" s="512">
        <f>SUM(F57:F61)</f>
        <v>1687.1398215044626</v>
      </c>
      <c r="G56" s="509">
        <f>SUM(G57:G61)</f>
        <v>2572.8601784955376</v>
      </c>
      <c r="H56" s="503">
        <f t="shared" si="4"/>
        <v>1.9234657873989446E-2</v>
      </c>
      <c r="I56"/>
      <c r="J56"/>
      <c r="K56"/>
      <c r="L56"/>
      <c r="M56"/>
      <c r="N56"/>
      <c r="O56"/>
      <c r="P56"/>
      <c r="Q56"/>
      <c r="R56"/>
    </row>
    <row r="57" spans="1:18" ht="29" hidden="1" outlineLevel="1" x14ac:dyDescent="0.35">
      <c r="A57" s="636" t="s">
        <v>299</v>
      </c>
      <c r="B57" s="637"/>
      <c r="C57" s="671"/>
      <c r="D57" s="671">
        <v>55</v>
      </c>
      <c r="E57" s="671">
        <f>D57*12</f>
        <v>660</v>
      </c>
      <c r="F57" s="510"/>
      <c r="G57" s="509">
        <f>E57</f>
        <v>660</v>
      </c>
      <c r="H57" s="503">
        <f t="shared" si="4"/>
        <v>4.9341485024873271E-3</v>
      </c>
      <c r="I57"/>
      <c r="J57"/>
      <c r="K57"/>
      <c r="L57"/>
      <c r="M57"/>
      <c r="N57"/>
      <c r="O57"/>
      <c r="P57"/>
      <c r="Q57"/>
      <c r="R57"/>
    </row>
    <row r="58" spans="1:18" hidden="1" outlineLevel="1" x14ac:dyDescent="0.35">
      <c r="A58" s="636" t="s">
        <v>300</v>
      </c>
      <c r="B58" s="637"/>
      <c r="C58" s="671"/>
      <c r="D58" s="698">
        <v>200</v>
      </c>
      <c r="E58" s="671">
        <f>D58*12</f>
        <v>2400</v>
      </c>
      <c r="F58" s="506">
        <f>E58*Eeldused50!$C$38</f>
        <v>1687.1398215044626</v>
      </c>
      <c r="G58" s="506">
        <f>E58*Eeldused50!$D$38</f>
        <v>712.86017849553764</v>
      </c>
      <c r="H58" s="503">
        <f t="shared" si="4"/>
        <v>5.3293302760706145E-3</v>
      </c>
      <c r="I58"/>
      <c r="J58"/>
      <c r="K58"/>
      <c r="L58"/>
      <c r="M58"/>
      <c r="N58"/>
      <c r="O58"/>
      <c r="P58"/>
      <c r="Q58"/>
      <c r="R58"/>
    </row>
    <row r="59" spans="1:18" hidden="1" outlineLevel="1" x14ac:dyDescent="0.35">
      <c r="A59" s="636" t="s">
        <v>283</v>
      </c>
      <c r="B59" s="637"/>
      <c r="C59" s="671"/>
      <c r="D59" s="698">
        <v>100</v>
      </c>
      <c r="E59" s="671">
        <f>D59*12</f>
        <v>1200</v>
      </c>
      <c r="F59" s="506"/>
      <c r="G59" s="507">
        <f>E59</f>
        <v>1200</v>
      </c>
      <c r="H59" s="503">
        <f t="shared" si="4"/>
        <v>8.971179095431504E-3</v>
      </c>
      <c r="I59"/>
      <c r="J59"/>
      <c r="K59"/>
      <c r="L59"/>
      <c r="M59"/>
      <c r="N59"/>
      <c r="O59"/>
      <c r="P59"/>
      <c r="Q59"/>
      <c r="R59"/>
    </row>
    <row r="60" spans="1:18" hidden="1" outlineLevel="1" x14ac:dyDescent="0.35">
      <c r="A60" s="636"/>
      <c r="B60" s="637"/>
      <c r="C60" s="671"/>
      <c r="D60" s="671"/>
      <c r="E60" s="671"/>
      <c r="F60" s="507"/>
      <c r="G60" s="507"/>
      <c r="H60" s="487">
        <f>G60/$G$71</f>
        <v>0</v>
      </c>
      <c r="I60"/>
      <c r="J60"/>
      <c r="K60"/>
      <c r="L60"/>
      <c r="M60"/>
      <c r="N60"/>
      <c r="O60"/>
      <c r="P60"/>
      <c r="Q60"/>
      <c r="R60"/>
    </row>
    <row r="61" spans="1:18" collapsed="1" x14ac:dyDescent="0.35">
      <c r="A61" s="636"/>
      <c r="B61" s="637"/>
      <c r="C61" s="671"/>
      <c r="D61" s="671"/>
      <c r="E61" s="671"/>
      <c r="F61" s="507"/>
      <c r="G61" s="507"/>
      <c r="H61" s="487"/>
      <c r="I61"/>
      <c r="J61"/>
      <c r="K61"/>
      <c r="L61"/>
      <c r="M61"/>
      <c r="N61"/>
      <c r="O61"/>
      <c r="P61"/>
      <c r="Q61"/>
      <c r="R61"/>
    </row>
    <row r="62" spans="1:18" x14ac:dyDescent="0.35">
      <c r="A62" s="683" t="s">
        <v>349</v>
      </c>
      <c r="B62" s="637"/>
      <c r="C62" s="671"/>
      <c r="D62" s="684">
        <f>E62/12</f>
        <v>12983.516147133334</v>
      </c>
      <c r="E62" s="684">
        <f>E4+E25+E29+E31+E56+E36+E43+E48+E54+E55</f>
        <v>155802.19376560001</v>
      </c>
      <c r="F62" s="513">
        <f>F4+F25+F29+F31+F56+F36+F43+F48+F54+F55</f>
        <v>22040.512359519325</v>
      </c>
      <c r="G62" s="513">
        <f>G4+G25+G29+G31+G56+G36+G43+G48+G54+G55</f>
        <v>133761.68140608069</v>
      </c>
      <c r="H62" s="503"/>
      <c r="I62"/>
      <c r="J62"/>
      <c r="K62" s="494"/>
      <c r="L62"/>
      <c r="M62"/>
      <c r="N62"/>
      <c r="O62"/>
      <c r="P62"/>
      <c r="Q62"/>
      <c r="R62"/>
    </row>
    <row r="63" spans="1:18" x14ac:dyDescent="0.35">
      <c r="A63" s="683"/>
      <c r="B63" s="637"/>
      <c r="C63" s="671"/>
      <c r="D63" s="671"/>
      <c r="E63" s="684"/>
      <c r="F63" s="507"/>
      <c r="G63" s="507"/>
      <c r="H63" s="503"/>
      <c r="I63"/>
      <c r="J63"/>
      <c r="K63"/>
      <c r="L63"/>
      <c r="M63"/>
      <c r="N63"/>
      <c r="O63"/>
      <c r="P63"/>
      <c r="Q63"/>
      <c r="R63"/>
    </row>
    <row r="64" spans="1:18" x14ac:dyDescent="0.35">
      <c r="A64" s="670" t="s">
        <v>406</v>
      </c>
      <c r="B64" s="637"/>
      <c r="C64" s="671"/>
      <c r="D64" s="600"/>
      <c r="E64" s="600"/>
      <c r="F64" s="485"/>
      <c r="G64" s="509"/>
      <c r="H64" s="503"/>
      <c r="I64"/>
      <c r="J64"/>
      <c r="K64"/>
      <c r="L64"/>
      <c r="M64"/>
      <c r="N64"/>
      <c r="O64"/>
      <c r="P64"/>
      <c r="Q64"/>
      <c r="R64"/>
    </row>
    <row r="65" spans="1:18" x14ac:dyDescent="0.35">
      <c r="A65" s="636" t="s">
        <v>327</v>
      </c>
      <c r="B65" s="637"/>
      <c r="C65" s="685"/>
      <c r="D65" s="671">
        <f>E65/12</f>
        <v>14343.331666666667</v>
      </c>
      <c r="E65" s="671">
        <f>('1. Projekti elluviimise kulud'!J8+'1. Projekti elluviimise kulud'!J10+'1. Projekti elluviimise kulud'!J6)/'1. Projekti elluviimise kulud'!L8</f>
        <v>172119.98</v>
      </c>
      <c r="F65" s="485"/>
      <c r="G65" s="509">
        <f>E65</f>
        <v>172119.98</v>
      </c>
      <c r="H65" s="503"/>
      <c r="I65"/>
      <c r="J65"/>
      <c r="K65"/>
      <c r="L65"/>
      <c r="M65"/>
      <c r="N65"/>
      <c r="O65"/>
      <c r="P65"/>
      <c r="Q65"/>
      <c r="R65"/>
    </row>
    <row r="66" spans="1:18" x14ac:dyDescent="0.35">
      <c r="A66" s="636" t="s">
        <v>328</v>
      </c>
      <c r="B66" s="637"/>
      <c r="C66" s="685"/>
      <c r="D66" s="671">
        <f>E66/12</f>
        <v>5790.9423076923076</v>
      </c>
      <c r="E66" s="671">
        <f>'1. Projekti elluviimise kulud'!J9/'1. Projekti elluviimise kulud'!L9</f>
        <v>69491.307692307688</v>
      </c>
      <c r="F66" s="485"/>
      <c r="G66" s="509">
        <f>E66</f>
        <v>69491.307692307688</v>
      </c>
      <c r="H66" s="503"/>
      <c r="I66"/>
      <c r="J66"/>
      <c r="K66"/>
      <c r="L66"/>
      <c r="M66"/>
      <c r="N66"/>
      <c r="O66"/>
      <c r="P66"/>
      <c r="Q66"/>
      <c r="R66"/>
    </row>
    <row r="67" spans="1:18" ht="30.75" hidden="1" customHeight="1" x14ac:dyDescent="0.35">
      <c r="A67" s="636"/>
      <c r="B67" s="637"/>
      <c r="C67" s="685"/>
      <c r="D67" s="671"/>
      <c r="E67" s="671"/>
      <c r="F67" s="485"/>
      <c r="G67" s="509">
        <f>E67</f>
        <v>0</v>
      </c>
      <c r="H67" s="503"/>
      <c r="I67"/>
      <c r="J67"/>
      <c r="K67"/>
      <c r="L67"/>
      <c r="M67"/>
      <c r="N67"/>
      <c r="O67"/>
      <c r="P67"/>
      <c r="Q67"/>
      <c r="R67"/>
    </row>
    <row r="68" spans="1:18" ht="31.5" hidden="1" customHeight="1" x14ac:dyDescent="0.35">
      <c r="A68" s="636"/>
      <c r="B68" s="637"/>
      <c r="C68" s="685"/>
      <c r="D68" s="671"/>
      <c r="E68" s="671"/>
      <c r="F68" s="485"/>
      <c r="G68" s="509">
        <f>E68</f>
        <v>0</v>
      </c>
      <c r="H68" s="503"/>
      <c r="I68"/>
      <c r="J68"/>
      <c r="K68"/>
      <c r="L68"/>
      <c r="M68"/>
      <c r="N68"/>
      <c r="O68"/>
      <c r="P68"/>
      <c r="Q68"/>
      <c r="R68"/>
    </row>
    <row r="69" spans="1:18" x14ac:dyDescent="0.35">
      <c r="A69" s="683" t="s">
        <v>483</v>
      </c>
      <c r="B69" s="597"/>
      <c r="C69" s="612"/>
      <c r="D69" s="684">
        <f>SUM(D65:D68)</f>
        <v>20134.273974358974</v>
      </c>
      <c r="E69" s="684">
        <f>SUM(E65:E68)</f>
        <v>241611.2876923077</v>
      </c>
      <c r="F69" s="513">
        <f>SUM(F65:F68)</f>
        <v>0</v>
      </c>
      <c r="G69" s="513">
        <f>SUM(G65:G68)</f>
        <v>241611.2876923077</v>
      </c>
      <c r="H69"/>
      <c r="I69"/>
      <c r="J69"/>
      <c r="K69"/>
      <c r="L69"/>
      <c r="M69"/>
      <c r="N69"/>
      <c r="O69"/>
      <c r="P69"/>
      <c r="Q69"/>
      <c r="R69"/>
    </row>
    <row r="70" spans="1:18" x14ac:dyDescent="0.35">
      <c r="A70" s="683"/>
      <c r="B70" s="597"/>
      <c r="C70" s="612"/>
      <c r="D70" s="671"/>
      <c r="E70" s="671"/>
      <c r="F70" s="485"/>
      <c r="G70" s="485"/>
      <c r="H70"/>
      <c r="I70"/>
      <c r="J70"/>
      <c r="K70"/>
      <c r="L70"/>
      <c r="M70"/>
      <c r="N70"/>
      <c r="O70"/>
      <c r="P70"/>
      <c r="Q70"/>
      <c r="R70"/>
    </row>
    <row r="71" spans="1:18" x14ac:dyDescent="0.35">
      <c r="A71" s="669" t="s">
        <v>65</v>
      </c>
      <c r="B71" s="663"/>
      <c r="C71" s="663"/>
      <c r="D71" s="664">
        <f>E71/12</f>
        <v>33117.790121492311</v>
      </c>
      <c r="E71" s="664">
        <f>E62+E69</f>
        <v>397413.48145790771</v>
      </c>
      <c r="F71" s="497">
        <f>F62+F69</f>
        <v>22040.512359519325</v>
      </c>
      <c r="G71" s="497">
        <f>G62+G69</f>
        <v>375372.96909838839</v>
      </c>
      <c r="H71"/>
      <c r="I71"/>
      <c r="J71"/>
      <c r="K71"/>
      <c r="L71"/>
      <c r="M71"/>
      <c r="N71"/>
      <c r="O71"/>
      <c r="P71"/>
      <c r="Q71"/>
      <c r="R71"/>
    </row>
    <row r="72" spans="1:18" x14ac:dyDescent="0.35">
      <c r="A72" s="514"/>
      <c r="B72" s="515"/>
      <c r="C72" s="515"/>
      <c r="D72" s="516"/>
      <c r="E72" s="516"/>
      <c r="F72" s="516"/>
      <c r="G72" s="516"/>
      <c r="H72"/>
      <c r="I72"/>
      <c r="J72"/>
      <c r="K72"/>
      <c r="L72"/>
      <c r="M72"/>
      <c r="N72"/>
      <c r="O72"/>
      <c r="P72"/>
      <c r="Q72"/>
      <c r="R72"/>
    </row>
    <row r="73" spans="1:18" x14ac:dyDescent="0.35">
      <c r="A73" s="370"/>
      <c r="B73" s="366"/>
      <c r="C73" s="366"/>
      <c r="D73" s="371"/>
      <c r="E73" s="371"/>
      <c r="F73" s="371"/>
      <c r="G73" s="371"/>
    </row>
    <row r="74" spans="1:18" x14ac:dyDescent="0.35">
      <c r="E74" s="368"/>
      <c r="G74" s="368"/>
    </row>
    <row r="75" spans="1:18" x14ac:dyDescent="0.35">
      <c r="E75" s="367"/>
      <c r="G75" s="367"/>
    </row>
    <row r="77" spans="1:18" x14ac:dyDescent="0.35">
      <c r="E77" s="369"/>
    </row>
  </sheetData>
  <conditionalFormatting sqref="H2:H73">
    <cfRule type="cellIs" dxfId="2" priority="1" operator="equal">
      <formula>0</formula>
    </cfRule>
  </conditionalFormatting>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52"/>
  <sheetViews>
    <sheetView topLeftCell="C15" workbookViewId="0">
      <selection activeCell="E11" sqref="E11"/>
    </sheetView>
  </sheetViews>
  <sheetFormatPr defaultColWidth="9.1796875" defaultRowHeight="14.5" outlineLevelCol="1" x14ac:dyDescent="0.35"/>
  <cols>
    <col min="1" max="1" width="33.453125" style="362" customWidth="1"/>
    <col min="2" max="2" width="17.36328125" style="362" customWidth="1"/>
    <col min="3" max="3" width="15.453125" style="362" customWidth="1"/>
    <col min="4" max="4" width="20" style="362" customWidth="1"/>
    <col min="5" max="5" width="10.453125" style="362" customWidth="1"/>
    <col min="6" max="6" width="15.453125" style="362" customWidth="1"/>
    <col min="7" max="7" width="12.36328125" style="362" customWidth="1"/>
    <col min="8" max="8" width="12.453125" style="362" customWidth="1"/>
    <col min="9" max="9" width="11.6328125" style="362" customWidth="1"/>
    <col min="10" max="10" width="11.6328125" style="362" hidden="1" customWidth="1"/>
    <col min="11" max="11" width="9.1796875" style="362" hidden="1" customWidth="1"/>
    <col min="12" max="12" width="9.1796875" style="362" customWidth="1"/>
    <col min="13" max="13" width="10.453125" style="362" customWidth="1" outlineLevel="1"/>
    <col min="14" max="19" width="9.1796875" style="362" customWidth="1" outlineLevel="1"/>
    <col min="20" max="16384" width="9.1796875" style="362"/>
  </cols>
  <sheetData>
    <row r="1" spans="1:19" x14ac:dyDescent="0.35">
      <c r="A1" s="632" t="s">
        <v>32</v>
      </c>
      <c r="B1" s="600"/>
      <c r="C1" s="600"/>
      <c r="D1" s="600"/>
      <c r="E1" s="652"/>
      <c r="F1" s="600"/>
      <c r="G1" s="652"/>
      <c r="H1" s="652"/>
      <c r="I1" s="602"/>
      <c r="J1"/>
      <c r="K1"/>
      <c r="L1"/>
      <c r="M1"/>
      <c r="N1"/>
      <c r="O1"/>
      <c r="P1"/>
      <c r="Q1"/>
    </row>
    <row r="2" spans="1:19" x14ac:dyDescent="0.35">
      <c r="A2" s="600"/>
      <c r="B2" s="600"/>
      <c r="C2" s="600"/>
      <c r="D2" s="600"/>
      <c r="E2" s="600"/>
      <c r="F2" s="600"/>
      <c r="G2" s="600"/>
      <c r="H2" s="600"/>
      <c r="I2" s="600"/>
      <c r="J2"/>
      <c r="K2"/>
      <c r="L2"/>
      <c r="M2"/>
      <c r="N2"/>
      <c r="O2"/>
      <c r="P2"/>
      <c r="Q2"/>
    </row>
    <row r="3" spans="1:19" x14ac:dyDescent="0.35">
      <c r="A3" s="632" t="s">
        <v>393</v>
      </c>
      <c r="B3" s="600"/>
      <c r="C3" s="600"/>
      <c r="D3" s="600"/>
      <c r="E3" s="600"/>
      <c r="F3" s="600"/>
      <c r="G3" s="600"/>
      <c r="H3" s="600"/>
      <c r="I3" s="600"/>
      <c r="J3"/>
      <c r="K3"/>
      <c r="L3"/>
      <c r="M3"/>
      <c r="N3"/>
      <c r="O3"/>
      <c r="P3"/>
      <c r="Q3"/>
    </row>
    <row r="4" spans="1:19" x14ac:dyDescent="0.35">
      <c r="A4" s="600"/>
      <c r="B4" s="600"/>
      <c r="C4" s="600"/>
      <c r="D4" s="600"/>
      <c r="E4" s="600"/>
      <c r="F4" s="600"/>
      <c r="G4" s="600"/>
      <c r="H4" s="600"/>
      <c r="I4" s="600"/>
      <c r="J4"/>
      <c r="K4"/>
      <c r="L4"/>
      <c r="M4"/>
      <c r="N4"/>
      <c r="O4"/>
      <c r="P4"/>
      <c r="Q4"/>
    </row>
    <row r="5" spans="1:19" ht="30" customHeight="1" x14ac:dyDescent="0.35">
      <c r="A5" s="653" t="s">
        <v>280</v>
      </c>
      <c r="B5" s="653" t="s">
        <v>453</v>
      </c>
      <c r="C5" s="653" t="s">
        <v>454</v>
      </c>
      <c r="D5" s="653" t="s">
        <v>466</v>
      </c>
      <c r="E5" s="653" t="s">
        <v>0</v>
      </c>
      <c r="F5" s="654" t="s">
        <v>467</v>
      </c>
      <c r="G5" s="653" t="s">
        <v>468</v>
      </c>
      <c r="H5" s="653" t="s">
        <v>469</v>
      </c>
      <c r="I5" s="653" t="s">
        <v>470</v>
      </c>
      <c r="J5"/>
      <c r="K5"/>
      <c r="L5"/>
      <c r="M5" s="721" t="s">
        <v>506</v>
      </c>
      <c r="N5" s="721" t="s">
        <v>507</v>
      </c>
      <c r="O5" s="721" t="s">
        <v>508</v>
      </c>
      <c r="P5"/>
      <c r="Q5"/>
    </row>
    <row r="6" spans="1:19" x14ac:dyDescent="0.35">
      <c r="A6" s="655" t="s">
        <v>278</v>
      </c>
      <c r="B6" s="597"/>
      <c r="C6" s="597"/>
      <c r="D6" s="597"/>
      <c r="E6" s="597"/>
      <c r="F6" s="597"/>
      <c r="G6" s="597"/>
      <c r="H6" s="597"/>
      <c r="I6" s="597"/>
      <c r="J6"/>
      <c r="K6"/>
      <c r="L6"/>
      <c r="M6" s="485"/>
      <c r="N6" s="485"/>
      <c r="O6" s="485"/>
      <c r="P6"/>
      <c r="Q6"/>
    </row>
    <row r="7" spans="1:19" x14ac:dyDescent="0.35">
      <c r="A7" s="626" t="str">
        <f>Ruumid!A5</f>
        <v>1 korrus</v>
      </c>
      <c r="B7" s="628">
        <f>Ruumid!C5</f>
        <v>292.5</v>
      </c>
      <c r="C7" s="628">
        <f>Ruumid!D5</f>
        <v>292.5</v>
      </c>
      <c r="D7" s="656"/>
      <c r="E7" s="656"/>
      <c r="F7" s="656"/>
      <c r="G7" s="657"/>
      <c r="H7" s="657"/>
      <c r="I7" s="657"/>
      <c r="J7"/>
      <c r="K7"/>
      <c r="L7"/>
      <c r="M7" s="485"/>
      <c r="N7" s="485"/>
      <c r="O7" s="485"/>
      <c r="P7"/>
      <c r="Q7"/>
    </row>
    <row r="8" spans="1:19" x14ac:dyDescent="0.35">
      <c r="A8" s="597" t="str">
        <f>Ruumid!A6</f>
        <v>Kohvik</v>
      </c>
      <c r="B8" s="597">
        <f>Ruumid!C6</f>
        <v>132.5</v>
      </c>
      <c r="C8" s="597">
        <f>Ruumid!D6</f>
        <v>132.5</v>
      </c>
      <c r="D8" s="642" t="s">
        <v>471</v>
      </c>
      <c r="E8" s="597">
        <v>5</v>
      </c>
      <c r="F8" s="658">
        <v>1</v>
      </c>
      <c r="G8" s="612">
        <f>C8*E8*F8</f>
        <v>662.5</v>
      </c>
      <c r="H8" s="612">
        <f>G8*12</f>
        <v>7950</v>
      </c>
      <c r="I8" s="613">
        <f>H8/$H$33</f>
        <v>6.3075114130253684E-2</v>
      </c>
      <c r="J8"/>
      <c r="K8" t="s">
        <v>268</v>
      </c>
      <c r="L8"/>
      <c r="M8" s="485">
        <f>B8</f>
        <v>132.5</v>
      </c>
      <c r="N8" s="485">
        <f>B8*F8</f>
        <v>132.5</v>
      </c>
      <c r="O8" s="485">
        <f>M8-N8</f>
        <v>0</v>
      </c>
      <c r="P8"/>
      <c r="Q8"/>
    </row>
    <row r="9" spans="1:19" hidden="1" x14ac:dyDescent="0.35">
      <c r="A9" s="597" t="str">
        <f>Ruumid!A7</f>
        <v>Seminariruumid</v>
      </c>
      <c r="B9" s="597">
        <f>Ruumid!C7</f>
        <v>72.7</v>
      </c>
      <c r="C9" s="597">
        <f>Ruumid!D7</f>
        <v>72.7</v>
      </c>
      <c r="D9" s="642" t="s">
        <v>281</v>
      </c>
      <c r="E9" s="597">
        <v>240</v>
      </c>
      <c r="F9" s="707"/>
      <c r="G9" s="612">
        <f>21*E9*F9</f>
        <v>0</v>
      </c>
      <c r="H9" s="612">
        <f>G9*12</f>
        <v>0</v>
      </c>
      <c r="I9" s="613">
        <f>H9/$H$33</f>
        <v>0</v>
      </c>
      <c r="J9"/>
      <c r="K9" t="s">
        <v>270</v>
      </c>
      <c r="L9"/>
      <c r="M9" s="485">
        <f>B9</f>
        <v>72.7</v>
      </c>
      <c r="N9" s="485">
        <f>B9*F9</f>
        <v>0</v>
      </c>
      <c r="O9" s="485">
        <f>M9-N9</f>
        <v>72.7</v>
      </c>
      <c r="P9"/>
      <c r="Q9"/>
    </row>
    <row r="10" spans="1:19" x14ac:dyDescent="0.35">
      <c r="A10" s="626" t="str">
        <f>Ruumid!A10</f>
        <v>2 korrus</v>
      </c>
      <c r="B10" s="628">
        <f>Ruumid!C10</f>
        <v>300.2</v>
      </c>
      <c r="C10" s="628">
        <f>Ruumid!D10</f>
        <v>300.2</v>
      </c>
      <c r="D10" s="656"/>
      <c r="E10" s="656"/>
      <c r="F10" s="656"/>
      <c r="G10" s="657"/>
      <c r="H10" s="657"/>
      <c r="I10" s="657"/>
      <c r="J10"/>
      <c r="K10"/>
      <c r="L10"/>
      <c r="M10" s="485"/>
      <c r="N10" s="485"/>
      <c r="O10" s="485"/>
      <c r="P10"/>
      <c r="Q10"/>
    </row>
    <row r="11" spans="1:19" x14ac:dyDescent="0.35">
      <c r="A11" s="597" t="str">
        <f>Ruumid!A11</f>
        <v>Üüriruumid</v>
      </c>
      <c r="B11" s="597">
        <f>Ruumid!C11</f>
        <v>273.39999999999998</v>
      </c>
      <c r="C11" s="597">
        <f>Ruumid!D11</f>
        <v>273.39999999999998</v>
      </c>
      <c r="D11" s="642" t="s">
        <v>471</v>
      </c>
      <c r="E11" s="597">
        <v>7</v>
      </c>
      <c r="F11" s="658">
        <v>1</v>
      </c>
      <c r="G11" s="612">
        <f>C11*E11*F11</f>
        <v>1913.7999999999997</v>
      </c>
      <c r="H11" s="612">
        <f>G11*12</f>
        <v>22965.599999999999</v>
      </c>
      <c r="I11" s="613">
        <f>H11/$H$33</f>
        <v>0.18220853346789356</v>
      </c>
      <c r="J11"/>
      <c r="K11" t="s">
        <v>268</v>
      </c>
      <c r="L11"/>
      <c r="M11" s="485">
        <f>B11</f>
        <v>273.39999999999998</v>
      </c>
      <c r="N11" s="485">
        <f>B11*F11</f>
        <v>273.39999999999998</v>
      </c>
      <c r="O11" s="485">
        <f>M11-N11</f>
        <v>0</v>
      </c>
      <c r="P11"/>
      <c r="Q11"/>
    </row>
    <row r="12" spans="1:19" x14ac:dyDescent="0.35">
      <c r="A12" s="626" t="str">
        <f>Ruumid!A14</f>
        <v>3 korrus</v>
      </c>
      <c r="B12" s="626">
        <f>Ruumid!C14</f>
        <v>304.20000000000005</v>
      </c>
      <c r="C12" s="628">
        <f>Ruumid!D14</f>
        <v>304.2</v>
      </c>
      <c r="D12" s="656"/>
      <c r="E12" s="656"/>
      <c r="F12" s="656"/>
      <c r="G12" s="657"/>
      <c r="H12" s="657"/>
      <c r="I12" s="657"/>
      <c r="J12"/>
      <c r="K12"/>
      <c r="L12"/>
      <c r="M12" s="485"/>
      <c r="N12" s="485"/>
      <c r="O12" s="485"/>
      <c r="P12"/>
      <c r="Q12"/>
    </row>
    <row r="13" spans="1:19" x14ac:dyDescent="0.35">
      <c r="A13" s="597" t="str">
        <f>Ruumid!A15</f>
        <v>Üürikabinetid</v>
      </c>
      <c r="B13" s="597">
        <f>Ruumid!C15</f>
        <v>105.6</v>
      </c>
      <c r="C13" s="597">
        <f>Ruumid!D15</f>
        <v>105.6</v>
      </c>
      <c r="D13" s="642" t="s">
        <v>471</v>
      </c>
      <c r="E13" s="597">
        <v>15</v>
      </c>
      <c r="F13" s="658">
        <v>0.5</v>
      </c>
      <c r="G13" s="612">
        <f>C13*E13*F13</f>
        <v>792</v>
      </c>
      <c r="H13" s="612">
        <f t="shared" ref="H13:H14" si="0">G13*12</f>
        <v>9504</v>
      </c>
      <c r="I13" s="613">
        <f t="shared" ref="I13:I14" si="1">H13/$H$33</f>
        <v>7.5404513797978745E-2</v>
      </c>
      <c r="J13"/>
      <c r="K13" t="s">
        <v>270</v>
      </c>
      <c r="L13"/>
      <c r="M13" s="485">
        <f t="shared" ref="M13:M14" si="2">B13</f>
        <v>105.6</v>
      </c>
      <c r="N13" s="485">
        <f t="shared" ref="N13:N14" si="3">B13*F13</f>
        <v>52.8</v>
      </c>
      <c r="O13" s="485">
        <f t="shared" ref="O13:O14" si="4">M13-N13</f>
        <v>52.8</v>
      </c>
      <c r="P13"/>
      <c r="Q13"/>
    </row>
    <row r="14" spans="1:19" x14ac:dyDescent="0.35">
      <c r="A14" s="597" t="str">
        <f>Ruumid!A18</f>
        <v>Open Office (12 kohta)</v>
      </c>
      <c r="B14" s="597">
        <f>Ruumid!C18</f>
        <v>35.6</v>
      </c>
      <c r="C14" s="597">
        <f>Ruumid!D18</f>
        <v>35.6</v>
      </c>
      <c r="D14" s="597" t="s">
        <v>472</v>
      </c>
      <c r="E14" s="597">
        <v>15</v>
      </c>
      <c r="F14" s="658">
        <v>0.5</v>
      </c>
      <c r="G14" s="612">
        <f>21*E14*F14*12</f>
        <v>1890</v>
      </c>
      <c r="H14" s="612">
        <f t="shared" si="0"/>
        <v>22680</v>
      </c>
      <c r="I14" s="613">
        <f t="shared" si="1"/>
        <v>0.17994258974517655</v>
      </c>
      <c r="J14"/>
      <c r="K14" t="s">
        <v>270</v>
      </c>
      <c r="L14"/>
      <c r="M14" s="485">
        <f t="shared" si="2"/>
        <v>35.6</v>
      </c>
      <c r="N14" s="485">
        <f t="shared" si="3"/>
        <v>17.8</v>
      </c>
      <c r="O14" s="485">
        <f t="shared" si="4"/>
        <v>17.8</v>
      </c>
      <c r="P14"/>
      <c r="Q14">
        <v>12</v>
      </c>
      <c r="R14" s="708">
        <f>Q14*F14</f>
        <v>6</v>
      </c>
      <c r="S14" s="708">
        <f>Q14-R14</f>
        <v>6</v>
      </c>
    </row>
    <row r="15" spans="1:19" x14ac:dyDescent="0.35">
      <c r="A15" s="626" t="str">
        <f>Ruumid!A19</f>
        <v>4 korrus</v>
      </c>
      <c r="B15" s="628">
        <f>Ruumid!C19</f>
        <v>307.8</v>
      </c>
      <c r="C15" s="628">
        <f>Ruumid!D19</f>
        <v>307.8</v>
      </c>
      <c r="D15" s="656"/>
      <c r="E15" s="656"/>
      <c r="F15" s="656"/>
      <c r="G15" s="657"/>
      <c r="H15" s="657"/>
      <c r="I15" s="657"/>
      <c r="J15"/>
      <c r="K15"/>
      <c r="L15"/>
      <c r="M15" s="485"/>
      <c r="N15" s="485"/>
      <c r="O15" s="485"/>
      <c r="P15"/>
      <c r="Q15"/>
    </row>
    <row r="16" spans="1:19" x14ac:dyDescent="0.35">
      <c r="A16" s="597" t="str">
        <f>Ruumid!A20</f>
        <v>Üüriruumid</v>
      </c>
      <c r="B16" s="597">
        <f>Ruumid!C20</f>
        <v>265.60000000000002</v>
      </c>
      <c r="C16" s="597">
        <f>Ruumid!D20</f>
        <v>265.60000000000002</v>
      </c>
      <c r="D16" s="642" t="s">
        <v>471</v>
      </c>
      <c r="E16" s="597">
        <v>7</v>
      </c>
      <c r="F16" s="658">
        <v>1</v>
      </c>
      <c r="G16" s="612">
        <f t="shared" ref="G16:G19" si="5">C16*E16*F16</f>
        <v>1859.2000000000003</v>
      </c>
      <c r="H16" s="612">
        <f t="shared" ref="H16:H17" si="6">G16*12</f>
        <v>22310.400000000001</v>
      </c>
      <c r="I16" s="613">
        <f t="shared" ref="I16:I17" si="7">H16/$H$33</f>
        <v>0.17701019198636628</v>
      </c>
      <c r="J16"/>
      <c r="K16" t="s">
        <v>268</v>
      </c>
      <c r="L16"/>
      <c r="M16" s="485">
        <f t="shared" ref="M16:M17" si="8">B16</f>
        <v>265.60000000000002</v>
      </c>
      <c r="N16" s="485">
        <f>B16*F16</f>
        <v>265.60000000000002</v>
      </c>
      <c r="O16" s="485">
        <f t="shared" ref="O16:O17" si="9">M16-N16</f>
        <v>0</v>
      </c>
      <c r="P16"/>
      <c r="Q16"/>
    </row>
    <row r="17" spans="1:17" x14ac:dyDescent="0.35">
      <c r="A17" s="597" t="str">
        <f>Ruumid!A21</f>
        <v>Üürikabinet</v>
      </c>
      <c r="B17" s="597">
        <f>Ruumid!C21</f>
        <v>15.8</v>
      </c>
      <c r="C17" s="597">
        <f>Ruumid!D21</f>
        <v>15.8</v>
      </c>
      <c r="D17" s="642" t="s">
        <v>471</v>
      </c>
      <c r="E17" s="597">
        <v>7</v>
      </c>
      <c r="F17" s="658">
        <v>1</v>
      </c>
      <c r="G17" s="612">
        <f t="shared" si="5"/>
        <v>110.60000000000001</v>
      </c>
      <c r="H17" s="612">
        <f t="shared" si="6"/>
        <v>1327.2</v>
      </c>
      <c r="I17" s="613">
        <f t="shared" si="7"/>
        <v>1.0529973770273295E-2</v>
      </c>
      <c r="J17"/>
      <c r="K17" t="s">
        <v>268</v>
      </c>
      <c r="L17"/>
      <c r="M17" s="485">
        <f t="shared" si="8"/>
        <v>15.8</v>
      </c>
      <c r="N17" s="485">
        <f>B17*F17</f>
        <v>15.8</v>
      </c>
      <c r="O17" s="485">
        <f t="shared" si="9"/>
        <v>0</v>
      </c>
      <c r="P17"/>
      <c r="Q17"/>
    </row>
    <row r="18" spans="1:17" x14ac:dyDescent="0.35">
      <c r="A18" s="626" t="str">
        <f>Ruumid!A24</f>
        <v>5 korrus</v>
      </c>
      <c r="B18" s="628">
        <f>Ruumid!C24</f>
        <v>301.7</v>
      </c>
      <c r="C18" s="628">
        <f>Ruumid!D24</f>
        <v>301.7</v>
      </c>
      <c r="D18" s="656"/>
      <c r="E18" s="656"/>
      <c r="F18" s="656"/>
      <c r="G18" s="657"/>
      <c r="H18" s="657"/>
      <c r="I18" s="657"/>
      <c r="J18"/>
      <c r="K18"/>
      <c r="L18"/>
      <c r="M18" s="485"/>
      <c r="N18" s="485"/>
      <c r="O18" s="485"/>
      <c r="P18"/>
      <c r="Q18"/>
    </row>
    <row r="19" spans="1:17" x14ac:dyDescent="0.35">
      <c r="A19" s="597" t="str">
        <f>Ruumid!A25</f>
        <v>Üürituba</v>
      </c>
      <c r="B19" s="597">
        <f>Ruumid!C25</f>
        <v>111.9</v>
      </c>
      <c r="C19" s="597">
        <f>Ruumid!D25</f>
        <v>111.9</v>
      </c>
      <c r="D19" s="642" t="s">
        <v>471</v>
      </c>
      <c r="E19" s="597">
        <v>55</v>
      </c>
      <c r="F19" s="659">
        <v>0.5</v>
      </c>
      <c r="G19" s="612">
        <f t="shared" si="5"/>
        <v>3077.25</v>
      </c>
      <c r="H19" s="612">
        <f>G19*12</f>
        <v>36927</v>
      </c>
      <c r="I19" s="613">
        <f t="shared" ref="I19:I20" si="10">H19/$H$33</f>
        <v>0.29297795465256321</v>
      </c>
      <c r="J19" s="489"/>
      <c r="K19" t="s">
        <v>268</v>
      </c>
      <c r="L19"/>
      <c r="M19" s="485">
        <f t="shared" ref="M19:M20" si="11">B19</f>
        <v>111.9</v>
      </c>
      <c r="N19" s="485">
        <f>B19*F19</f>
        <v>55.95</v>
      </c>
      <c r="O19" s="485">
        <f t="shared" ref="O19:O20" si="12">M19-N19</f>
        <v>55.95</v>
      </c>
      <c r="P19"/>
      <c r="Q19"/>
    </row>
    <row r="20" spans="1:17" x14ac:dyDescent="0.35">
      <c r="A20" s="597" t="str">
        <f>Ruumid!A27</f>
        <v>Üüriruumid</v>
      </c>
      <c r="B20" s="597">
        <f>Ruumid!C27</f>
        <v>26.4</v>
      </c>
      <c r="C20" s="597">
        <f>Ruumid!D27</f>
        <v>26.4</v>
      </c>
      <c r="D20" s="642" t="s">
        <v>471</v>
      </c>
      <c r="E20" s="597">
        <v>15</v>
      </c>
      <c r="F20" s="659">
        <v>0.5</v>
      </c>
      <c r="G20" s="612">
        <f>C20*E20*F20</f>
        <v>198</v>
      </c>
      <c r="H20" s="612">
        <f>G20*12</f>
        <v>2376</v>
      </c>
      <c r="I20" s="613">
        <f t="shared" si="10"/>
        <v>1.8851128449494686E-2</v>
      </c>
      <c r="J20"/>
      <c r="K20" t="s">
        <v>268</v>
      </c>
      <c r="L20"/>
      <c r="M20" s="485">
        <f t="shared" si="11"/>
        <v>26.4</v>
      </c>
      <c r="N20" s="485">
        <f>B20*F20</f>
        <v>13.2</v>
      </c>
      <c r="O20" s="485">
        <f t="shared" si="12"/>
        <v>13.2</v>
      </c>
      <c r="P20"/>
      <c r="Q20"/>
    </row>
    <row r="21" spans="1:17" x14ac:dyDescent="0.35">
      <c r="A21" s="626"/>
      <c r="B21" s="626"/>
      <c r="C21" s="628"/>
      <c r="D21" s="656"/>
      <c r="E21" s="656"/>
      <c r="F21" s="656"/>
      <c r="G21" s="657"/>
      <c r="H21" s="657"/>
      <c r="I21" s="657"/>
      <c r="J21"/>
      <c r="K21"/>
      <c r="L21"/>
      <c r="M21" s="485"/>
      <c r="N21" s="485"/>
      <c r="O21" s="485"/>
      <c r="P21"/>
      <c r="Q21"/>
    </row>
    <row r="22" spans="1:17" hidden="1" x14ac:dyDescent="0.35">
      <c r="A22" s="597"/>
      <c r="B22" s="597"/>
      <c r="C22" s="597"/>
      <c r="D22" s="642"/>
      <c r="E22" s="597"/>
      <c r="F22" s="658"/>
      <c r="G22" s="612"/>
      <c r="H22" s="612"/>
      <c r="I22" s="613"/>
      <c r="J22"/>
      <c r="K22"/>
      <c r="L22"/>
      <c r="M22" s="485"/>
      <c r="N22" s="485"/>
      <c r="O22" s="485"/>
      <c r="P22"/>
      <c r="Q22"/>
    </row>
    <row r="23" spans="1:17" hidden="1" x14ac:dyDescent="0.35">
      <c r="A23" s="597"/>
      <c r="B23" s="597"/>
      <c r="C23" s="597"/>
      <c r="D23" s="642"/>
      <c r="E23" s="597"/>
      <c r="F23" s="660"/>
      <c r="G23" s="612"/>
      <c r="H23" s="612"/>
      <c r="I23" s="612"/>
      <c r="J23"/>
      <c r="K23"/>
      <c r="L23"/>
      <c r="P23"/>
      <c r="Q23"/>
    </row>
    <row r="24" spans="1:17" ht="15" hidden="1" customHeight="1" x14ac:dyDescent="0.35">
      <c r="A24" s="655"/>
      <c r="B24" s="645"/>
      <c r="C24" s="645"/>
      <c r="D24" s="645"/>
      <c r="E24" s="645"/>
      <c r="F24" s="661"/>
      <c r="G24" s="662"/>
      <c r="H24" s="662"/>
      <c r="I24" s="662"/>
      <c r="J24"/>
      <c r="K24"/>
      <c r="L24"/>
      <c r="M24" s="485"/>
      <c r="N24" s="485"/>
      <c r="O24" s="485"/>
      <c r="P24"/>
      <c r="Q24"/>
    </row>
    <row r="25" spans="1:17" hidden="1" x14ac:dyDescent="0.35">
      <c r="A25" s="597"/>
      <c r="B25" s="597"/>
      <c r="C25" s="597"/>
      <c r="D25" s="597"/>
      <c r="E25" s="597"/>
      <c r="F25" s="597"/>
      <c r="G25" s="612"/>
      <c r="H25" s="612"/>
      <c r="I25" s="612"/>
      <c r="J25"/>
      <c r="K25"/>
      <c r="L25"/>
      <c r="M25" s="485"/>
      <c r="N25" s="485"/>
      <c r="O25" s="485"/>
      <c r="P25"/>
      <c r="Q25"/>
    </row>
    <row r="26" spans="1:17" hidden="1" x14ac:dyDescent="0.35">
      <c r="A26" s="626"/>
      <c r="B26" s="628"/>
      <c r="C26" s="628"/>
      <c r="D26" s="628"/>
      <c r="E26" s="656"/>
      <c r="F26" s="656"/>
      <c r="G26" s="657"/>
      <c r="H26" s="657"/>
      <c r="I26" s="657"/>
      <c r="J26"/>
      <c r="K26"/>
      <c r="L26"/>
      <c r="M26" s="485"/>
      <c r="N26" s="485"/>
      <c r="O26" s="485"/>
      <c r="P26"/>
      <c r="Q26"/>
    </row>
    <row r="27" spans="1:17" hidden="1" x14ac:dyDescent="0.35">
      <c r="A27" s="597"/>
      <c r="B27" s="597"/>
      <c r="C27" s="597"/>
      <c r="D27" s="597"/>
      <c r="E27" s="597"/>
      <c r="F27" s="659"/>
      <c r="G27" s="612"/>
      <c r="H27" s="612"/>
      <c r="I27" s="613"/>
      <c r="J27"/>
      <c r="K27"/>
      <c r="L27"/>
      <c r="M27" s="485"/>
      <c r="N27" s="485"/>
      <c r="O27" s="485"/>
      <c r="P27"/>
      <c r="Q27"/>
    </row>
    <row r="28" spans="1:17" hidden="1" x14ac:dyDescent="0.35">
      <c r="A28" s="597"/>
      <c r="B28" s="597"/>
      <c r="C28" s="597"/>
      <c r="D28" s="597"/>
      <c r="E28" s="597"/>
      <c r="F28" s="659"/>
      <c r="G28" s="612"/>
      <c r="H28" s="612"/>
      <c r="I28" s="613"/>
      <c r="J28"/>
      <c r="K28"/>
      <c r="L28"/>
      <c r="M28" s="485"/>
      <c r="N28" s="485"/>
      <c r="O28" s="485"/>
      <c r="P28"/>
      <c r="Q28"/>
    </row>
    <row r="29" spans="1:17" hidden="1" x14ac:dyDescent="0.35">
      <c r="A29" s="597"/>
      <c r="B29" s="597"/>
      <c r="C29" s="597"/>
      <c r="D29" s="597"/>
      <c r="E29" s="597"/>
      <c r="F29" s="658"/>
      <c r="G29" s="612"/>
      <c r="H29" s="612"/>
      <c r="I29" s="613"/>
      <c r="J29"/>
      <c r="K29"/>
      <c r="L29"/>
      <c r="M29" s="485"/>
      <c r="N29" s="485"/>
      <c r="O29" s="485"/>
      <c r="P29"/>
      <c r="Q29"/>
    </row>
    <row r="30" spans="1:17" hidden="1" x14ac:dyDescent="0.35">
      <c r="A30" s="626"/>
      <c r="B30" s="628"/>
      <c r="C30" s="628"/>
      <c r="D30" s="628"/>
      <c r="E30" s="656"/>
      <c r="F30" s="656"/>
      <c r="G30" s="657"/>
      <c r="H30" s="657"/>
      <c r="I30" s="657"/>
      <c r="J30"/>
      <c r="K30"/>
      <c r="L30"/>
      <c r="M30" s="485"/>
      <c r="N30" s="485"/>
      <c r="O30" s="485"/>
      <c r="P30"/>
      <c r="Q30"/>
    </row>
    <row r="31" spans="1:17" hidden="1" x14ac:dyDescent="0.35">
      <c r="A31" s="637"/>
      <c r="B31" s="597"/>
      <c r="C31" s="597"/>
      <c r="D31" s="597"/>
      <c r="E31" s="597"/>
      <c r="F31" s="658"/>
      <c r="G31" s="612"/>
      <c r="H31" s="612"/>
      <c r="I31" s="613"/>
      <c r="J31"/>
      <c r="K31"/>
      <c r="L31"/>
      <c r="M31" s="485"/>
      <c r="N31" s="485"/>
      <c r="O31" s="485"/>
      <c r="P31"/>
      <c r="Q31"/>
    </row>
    <row r="32" spans="1:17" x14ac:dyDescent="0.35">
      <c r="A32" s="597"/>
      <c r="B32" s="597"/>
      <c r="C32" s="597"/>
      <c r="D32" s="597"/>
      <c r="E32" s="597"/>
      <c r="F32" s="597"/>
      <c r="G32" s="612"/>
      <c r="H32" s="612"/>
      <c r="I32" s="612"/>
      <c r="J32"/>
      <c r="K32"/>
      <c r="L32"/>
      <c r="M32" s="485"/>
      <c r="N32" s="485"/>
      <c r="O32" s="485"/>
      <c r="P32"/>
      <c r="Q32"/>
    </row>
    <row r="33" spans="1:17" x14ac:dyDescent="0.35">
      <c r="A33" s="663" t="s">
        <v>462</v>
      </c>
      <c r="B33" s="597"/>
      <c r="C33" s="597"/>
      <c r="D33" s="597"/>
      <c r="E33" s="597"/>
      <c r="F33" s="597"/>
      <c r="G33" s="664">
        <f>SUM(G7:G32)</f>
        <v>10503.35</v>
      </c>
      <c r="H33" s="664">
        <f>SUM(H7:H32)</f>
        <v>126040.2</v>
      </c>
      <c r="I33" s="664"/>
      <c r="J33"/>
      <c r="K33"/>
      <c r="L33"/>
      <c r="M33" s="497">
        <f>SUM(M6:M22)</f>
        <v>1039.5</v>
      </c>
      <c r="N33" s="497">
        <f>SUM(N6:N22)</f>
        <v>827.05000000000007</v>
      </c>
      <c r="O33" s="497">
        <f>SUM(O6:O22)</f>
        <v>212.45</v>
      </c>
      <c r="P33"/>
      <c r="Q33"/>
    </row>
    <row r="34" spans="1:17" x14ac:dyDescent="0.35">
      <c r="A34" s="600"/>
      <c r="B34" s="600"/>
      <c r="C34" s="600"/>
      <c r="D34" s="600"/>
      <c r="E34" s="600"/>
      <c r="F34" s="600"/>
      <c r="G34" s="600"/>
      <c r="H34" s="600"/>
      <c r="I34" s="600"/>
      <c r="J34"/>
      <c r="K34"/>
      <c r="L34"/>
      <c r="M34" s="600"/>
      <c r="N34" s="720">
        <f>N33/M33</f>
        <v>0.79562289562289568</v>
      </c>
      <c r="O34" s="719">
        <f>O33/M33</f>
        <v>0.20437710437710438</v>
      </c>
      <c r="P34"/>
      <c r="Q34"/>
    </row>
    <row r="35" spans="1:17" x14ac:dyDescent="0.35">
      <c r="A35" s="632" t="s">
        <v>394</v>
      </c>
      <c r="B35" s="600"/>
      <c r="C35" s="600"/>
      <c r="D35" s="600"/>
      <c r="E35" s="600"/>
      <c r="F35" s="600"/>
      <c r="G35" s="600"/>
      <c r="H35" s="600"/>
      <c r="I35" s="600"/>
      <c r="J35"/>
      <c r="K35"/>
      <c r="L35"/>
      <c r="M35"/>
      <c r="N35"/>
      <c r="O35"/>
      <c r="P35"/>
      <c r="Q35"/>
    </row>
    <row r="36" spans="1:17" x14ac:dyDescent="0.35">
      <c r="A36" s="600"/>
      <c r="B36" s="600"/>
      <c r="C36" s="600"/>
      <c r="D36" s="600"/>
      <c r="E36" s="600"/>
      <c r="F36" s="600"/>
      <c r="G36" s="600"/>
      <c r="H36" s="600"/>
      <c r="I36" s="600"/>
      <c r="J36"/>
      <c r="K36"/>
      <c r="L36"/>
      <c r="M36"/>
      <c r="N36"/>
      <c r="O36"/>
      <c r="P36"/>
      <c r="Q36"/>
    </row>
    <row r="37" spans="1:17" x14ac:dyDescent="0.35">
      <c r="A37" s="600"/>
      <c r="B37" s="600"/>
      <c r="C37" s="600"/>
      <c r="D37" s="600"/>
      <c r="E37" s="600"/>
      <c r="F37" s="600"/>
      <c r="G37" s="600"/>
      <c r="H37" s="600"/>
      <c r="I37" s="600"/>
      <c r="J37"/>
      <c r="K37"/>
      <c r="L37"/>
      <c r="M37"/>
      <c r="N37"/>
      <c r="O37"/>
      <c r="P37"/>
      <c r="Q37"/>
    </row>
    <row r="38" spans="1:17" ht="29" x14ac:dyDescent="0.35">
      <c r="A38" s="665"/>
      <c r="B38" s="665"/>
      <c r="C38" s="665"/>
      <c r="D38" s="665"/>
      <c r="E38" s="665"/>
      <c r="F38" s="665"/>
      <c r="G38" s="666" t="s">
        <v>473</v>
      </c>
      <c r="H38" s="666" t="s">
        <v>474</v>
      </c>
      <c r="I38" s="666" t="s">
        <v>282</v>
      </c>
      <c r="J38" s="495"/>
      <c r="K38"/>
      <c r="L38"/>
      <c r="M38"/>
      <c r="N38"/>
      <c r="O38"/>
      <c r="P38"/>
      <c r="Q38"/>
    </row>
    <row r="39" spans="1:17" x14ac:dyDescent="0.35">
      <c r="A39" s="597" t="s">
        <v>286</v>
      </c>
      <c r="B39" s="597"/>
      <c r="C39" s="597"/>
      <c r="D39" s="597"/>
      <c r="E39" s="597"/>
      <c r="F39" s="597"/>
      <c r="G39" s="612">
        <f>H39/12</f>
        <v>276.66948586738073</v>
      </c>
      <c r="H39" s="612">
        <f>Kulud50!F5</f>
        <v>3320.0338304085685</v>
      </c>
      <c r="I39" s="613">
        <f>H39/$H$47</f>
        <v>0.15063324192527866</v>
      </c>
      <c r="J39" s="496"/>
      <c r="K39"/>
      <c r="L39"/>
      <c r="M39"/>
      <c r="N39"/>
      <c r="O39"/>
      <c r="P39"/>
      <c r="Q39"/>
    </row>
    <row r="40" spans="1:17" x14ac:dyDescent="0.35">
      <c r="A40" s="597" t="s">
        <v>463</v>
      </c>
      <c r="B40" s="597"/>
      <c r="C40" s="597"/>
      <c r="D40" s="597"/>
      <c r="E40" s="597"/>
      <c r="F40" s="597"/>
      <c r="G40" s="612">
        <f t="shared" ref="G40:G45" si="13">H40/12</f>
        <v>54.707195852103716</v>
      </c>
      <c r="H40" s="612">
        <f>Kulud50!F14</f>
        <v>656.48635022524456</v>
      </c>
      <c r="I40" s="613">
        <f t="shared" ref="I40:I45" si="14">H40/$H$47</f>
        <v>2.978543962666582E-2</v>
      </c>
      <c r="J40" s="496"/>
      <c r="K40"/>
      <c r="L40"/>
      <c r="M40"/>
      <c r="N40"/>
      <c r="O40"/>
      <c r="P40"/>
      <c r="Q40"/>
    </row>
    <row r="41" spans="1:17" x14ac:dyDescent="0.35">
      <c r="A41" s="597" t="s">
        <v>397</v>
      </c>
      <c r="B41" s="597"/>
      <c r="C41" s="597"/>
      <c r="D41" s="597"/>
      <c r="E41" s="597"/>
      <c r="F41" s="597"/>
      <c r="G41" s="612">
        <f t="shared" si="13"/>
        <v>170.44187905218874</v>
      </c>
      <c r="H41" s="612">
        <f>Kulud50!F20</f>
        <v>2045.302548626265</v>
      </c>
      <c r="I41" s="613">
        <f t="shared" si="14"/>
        <v>9.2797413928669248E-2</v>
      </c>
      <c r="J41" s="496"/>
      <c r="K41"/>
      <c r="L41"/>
      <c r="M41"/>
      <c r="N41"/>
      <c r="O41"/>
      <c r="P41"/>
      <c r="Q41"/>
    </row>
    <row r="42" spans="1:17" x14ac:dyDescent="0.35">
      <c r="A42" s="597" t="s">
        <v>464</v>
      </c>
      <c r="B42" s="597"/>
      <c r="C42" s="597"/>
      <c r="D42" s="597"/>
      <c r="E42" s="597"/>
      <c r="F42" s="597"/>
      <c r="G42" s="612">
        <f t="shared" si="13"/>
        <v>534.2609434764131</v>
      </c>
      <c r="H42" s="612">
        <f>Kulud50!F43</f>
        <v>6411.1313217169572</v>
      </c>
      <c r="I42" s="613">
        <f t="shared" si="14"/>
        <v>0.29087941410527068</v>
      </c>
      <c r="J42" s="496"/>
      <c r="K42"/>
      <c r="L42"/>
      <c r="M42"/>
      <c r="N42"/>
      <c r="O42"/>
      <c r="P42"/>
      <c r="Q42"/>
    </row>
    <row r="43" spans="1:17" x14ac:dyDescent="0.35">
      <c r="A43" s="597" t="s">
        <v>402</v>
      </c>
      <c r="B43" s="597"/>
      <c r="C43" s="597"/>
      <c r="D43" s="597"/>
      <c r="E43" s="597"/>
      <c r="F43" s="597"/>
      <c r="G43" s="612">
        <f t="shared" si="13"/>
        <v>378.84490366907494</v>
      </c>
      <c r="H43" s="612">
        <f>Kulud50!F48</f>
        <v>4546.1388440288993</v>
      </c>
      <c r="I43" s="613">
        <f t="shared" si="14"/>
        <v>0.20626284769942824</v>
      </c>
      <c r="J43" s="496"/>
      <c r="K43"/>
      <c r="L43"/>
      <c r="M43"/>
      <c r="N43"/>
      <c r="O43"/>
      <c r="P43"/>
      <c r="Q43"/>
    </row>
    <row r="44" spans="1:17" x14ac:dyDescent="0.35">
      <c r="A44" s="597" t="s">
        <v>403</v>
      </c>
      <c r="B44" s="597"/>
      <c r="C44" s="597"/>
      <c r="D44" s="597"/>
      <c r="E44" s="597"/>
      <c r="F44" s="597"/>
      <c r="G44" s="612">
        <f t="shared" si="13"/>
        <v>281.18997025074378</v>
      </c>
      <c r="H44" s="612">
        <f>Kulud50!F54</f>
        <v>3374.2796430089252</v>
      </c>
      <c r="I44" s="613">
        <f t="shared" si="14"/>
        <v>0.15309442847645827</v>
      </c>
      <c r="J44" s="496"/>
      <c r="K44"/>
      <c r="L44"/>
      <c r="M44"/>
      <c r="N44"/>
      <c r="O44"/>
      <c r="P44"/>
      <c r="Q44"/>
    </row>
    <row r="45" spans="1:17" x14ac:dyDescent="0.35">
      <c r="A45" s="612" t="s">
        <v>405</v>
      </c>
      <c r="B45" s="597"/>
      <c r="C45" s="597"/>
      <c r="D45" s="597"/>
      <c r="E45" s="597"/>
      <c r="F45" s="597"/>
      <c r="G45" s="612">
        <f t="shared" si="13"/>
        <v>140.59498512537189</v>
      </c>
      <c r="H45" s="612">
        <f>Kulud50!F56</f>
        <v>1687.1398215044626</v>
      </c>
      <c r="I45" s="613">
        <f t="shared" si="14"/>
        <v>7.6547214238229133E-2</v>
      </c>
      <c r="J45" s="496"/>
      <c r="K45"/>
      <c r="L45"/>
      <c r="M45"/>
      <c r="N45"/>
      <c r="O45"/>
      <c r="P45"/>
      <c r="Q45"/>
    </row>
    <row r="46" spans="1:17" x14ac:dyDescent="0.35">
      <c r="A46" s="597"/>
      <c r="B46" s="597"/>
      <c r="C46" s="597"/>
      <c r="D46" s="597"/>
      <c r="E46" s="597"/>
      <c r="F46" s="597"/>
      <c r="G46" s="612"/>
      <c r="H46" s="612"/>
      <c r="I46" s="613"/>
      <c r="J46" s="496"/>
      <c r="K46"/>
      <c r="L46"/>
      <c r="M46"/>
      <c r="N46"/>
      <c r="O46"/>
      <c r="P46"/>
      <c r="Q46"/>
    </row>
    <row r="47" spans="1:17" x14ac:dyDescent="0.35">
      <c r="A47" s="663" t="s">
        <v>465</v>
      </c>
      <c r="B47" s="597"/>
      <c r="C47" s="597"/>
      <c r="D47" s="597"/>
      <c r="E47" s="597"/>
      <c r="F47" s="597"/>
      <c r="G47" s="664">
        <f>SUM(G39:G46)</f>
        <v>1836.709363293277</v>
      </c>
      <c r="H47" s="664">
        <f>SUM(H39:H46)</f>
        <v>22040.512359519322</v>
      </c>
      <c r="I47" s="667">
        <f>SUM(I39:I46)</f>
        <v>1</v>
      </c>
      <c r="J47" s="498"/>
      <c r="K47"/>
      <c r="L47"/>
      <c r="M47"/>
      <c r="N47"/>
      <c r="O47"/>
      <c r="P47"/>
      <c r="Q47"/>
    </row>
    <row r="48" spans="1:17" x14ac:dyDescent="0.35">
      <c r="A48"/>
      <c r="B48"/>
      <c r="C48"/>
      <c r="D48"/>
      <c r="E48"/>
      <c r="F48"/>
      <c r="G48"/>
      <c r="H48"/>
      <c r="I48"/>
      <c r="J48"/>
      <c r="K48"/>
      <c r="L48"/>
      <c r="M48"/>
      <c r="N48"/>
      <c r="O48"/>
      <c r="P48"/>
      <c r="Q48"/>
    </row>
    <row r="49" spans="1:17" x14ac:dyDescent="0.35">
      <c r="A49" s="615" t="s">
        <v>65</v>
      </c>
      <c r="B49" s="499"/>
      <c r="C49" s="499"/>
      <c r="D49" s="499"/>
      <c r="E49" s="499"/>
      <c r="F49" s="499"/>
      <c r="G49" s="500">
        <f>F36+G47</f>
        <v>1836.709363293277</v>
      </c>
      <c r="H49" s="500">
        <f>G36+H47</f>
        <v>22040.512359519322</v>
      </c>
      <c r="I49" s="501"/>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0"/>
  <sheetViews>
    <sheetView tabSelected="1" workbookViewId="0">
      <selection activeCell="G9" sqref="G9"/>
    </sheetView>
  </sheetViews>
  <sheetFormatPr defaultColWidth="9.1796875" defaultRowHeight="14.5" x14ac:dyDescent="0.35"/>
  <cols>
    <col min="1" max="1" width="25.1796875" style="708" customWidth="1"/>
    <col min="2" max="2" width="15.1796875" style="708" customWidth="1"/>
    <col min="3" max="3" width="14.6328125" style="708" customWidth="1"/>
    <col min="4" max="4" width="13.1796875" style="708" customWidth="1"/>
    <col min="5" max="5" width="13.36328125" style="708" customWidth="1"/>
    <col min="6" max="6" width="8.81640625" style="708" customWidth="1"/>
    <col min="7" max="7" width="12.453125" style="708" customWidth="1"/>
    <col min="8" max="8" width="14.36328125" style="708" customWidth="1"/>
    <col min="9" max="9" width="13.36328125" style="708" customWidth="1"/>
    <col min="10" max="10" width="17" style="708" customWidth="1"/>
    <col min="11" max="16384" width="9.1796875" style="708"/>
  </cols>
  <sheetData>
    <row r="1" spans="1:8" x14ac:dyDescent="0.35">
      <c r="A1" s="632" t="s">
        <v>419</v>
      </c>
      <c r="B1" s="632"/>
      <c r="C1" s="600"/>
      <c r="D1" s="600"/>
      <c r="E1" s="633"/>
      <c r="F1" s="598"/>
      <c r="G1" s="598"/>
      <c r="H1" s="600"/>
    </row>
    <row r="2" spans="1:8" x14ac:dyDescent="0.35">
      <c r="A2" s="600"/>
      <c r="B2" s="600"/>
      <c r="C2" s="600"/>
      <c r="D2" s="600"/>
      <c r="E2" s="599"/>
      <c r="F2" s="600"/>
      <c r="G2" s="600"/>
      <c r="H2" s="600"/>
    </row>
    <row r="3" spans="1:8" x14ac:dyDescent="0.35">
      <c r="A3" s="632" t="s">
        <v>420</v>
      </c>
      <c r="B3" s="632"/>
      <c r="C3" s="600"/>
      <c r="D3" s="598"/>
      <c r="E3" s="599"/>
      <c r="F3" s="600"/>
      <c r="G3" s="600"/>
      <c r="H3" s="600"/>
    </row>
    <row r="4" spans="1:8" x14ac:dyDescent="0.35">
      <c r="A4" s="634" t="s">
        <v>544</v>
      </c>
      <c r="B4" s="597" t="s">
        <v>545</v>
      </c>
      <c r="C4" s="597">
        <v>62.78</v>
      </c>
      <c r="D4" s="598"/>
      <c r="E4" s="599"/>
      <c r="F4" s="600"/>
      <c r="G4" s="600"/>
      <c r="H4" s="600"/>
    </row>
    <row r="5" spans="1:8" x14ac:dyDescent="0.35">
      <c r="A5" s="634" t="s">
        <v>421</v>
      </c>
      <c r="B5" s="597" t="s">
        <v>426</v>
      </c>
      <c r="C5" s="485">
        <f>SUM(Eeldused25!$C$5)</f>
        <v>0.192</v>
      </c>
      <c r="D5" s="601"/>
      <c r="E5" s="599"/>
      <c r="F5" s="600"/>
      <c r="G5" s="602"/>
      <c r="H5" s="600"/>
    </row>
    <row r="6" spans="1:8" x14ac:dyDescent="0.35">
      <c r="A6" s="634" t="s">
        <v>422</v>
      </c>
      <c r="B6" s="597" t="s">
        <v>425</v>
      </c>
      <c r="C6" s="597">
        <v>1.64</v>
      </c>
      <c r="D6" s="598"/>
      <c r="E6" s="599"/>
      <c r="F6" s="600"/>
      <c r="G6" s="600"/>
      <c r="H6" s="600"/>
    </row>
    <row r="7" spans="1:8" x14ac:dyDescent="0.35">
      <c r="A7" s="634" t="s">
        <v>423</v>
      </c>
      <c r="B7" s="597" t="s">
        <v>425</v>
      </c>
      <c r="C7" s="597">
        <v>5</v>
      </c>
      <c r="D7" s="598"/>
      <c r="E7" s="599"/>
      <c r="F7" s="600"/>
      <c r="G7" s="600"/>
      <c r="H7" s="600"/>
    </row>
    <row r="8" spans="1:8" x14ac:dyDescent="0.35">
      <c r="A8" s="634" t="s">
        <v>424</v>
      </c>
      <c r="B8" s="597" t="s">
        <v>425</v>
      </c>
      <c r="C8" s="597">
        <v>1.64</v>
      </c>
      <c r="D8" s="598"/>
      <c r="E8" s="599"/>
      <c r="F8" s="600"/>
      <c r="G8" s="600"/>
      <c r="H8" s="600"/>
    </row>
    <row r="9" spans="1:8" x14ac:dyDescent="0.35">
      <c r="A9" s="600"/>
      <c r="B9" s="600"/>
      <c r="C9" s="600"/>
      <c r="D9" s="600"/>
      <c r="E9" s="599"/>
      <c r="F9" s="600"/>
      <c r="G9" s="600"/>
      <c r="H9" s="600"/>
    </row>
    <row r="10" spans="1:8" x14ac:dyDescent="0.35">
      <c r="A10" s="632" t="s">
        <v>427</v>
      </c>
      <c r="B10" s="632"/>
      <c r="C10" s="600"/>
      <c r="D10" s="600"/>
      <c r="E10" s="599"/>
      <c r="F10" s="600"/>
      <c r="G10" s="600"/>
      <c r="H10" s="600"/>
    </row>
    <row r="11" spans="1:8" ht="29" x14ac:dyDescent="0.35">
      <c r="A11" s="634"/>
      <c r="B11" s="635" t="s">
        <v>2</v>
      </c>
      <c r="C11" s="603" t="s">
        <v>428</v>
      </c>
      <c r="D11" s="604" t="s">
        <v>429</v>
      </c>
      <c r="E11" s="599"/>
      <c r="F11" s="600"/>
      <c r="G11" s="600"/>
      <c r="H11" s="600"/>
    </row>
    <row r="12" spans="1:8" x14ac:dyDescent="0.35">
      <c r="A12" s="634" t="s">
        <v>544</v>
      </c>
      <c r="B12" s="636"/>
      <c r="C12" s="603"/>
      <c r="D12" s="604"/>
      <c r="E12" s="599"/>
      <c r="F12" s="600"/>
      <c r="G12" s="600"/>
      <c r="H12" s="600"/>
    </row>
    <row r="13" spans="1:8" hidden="1" x14ac:dyDescent="0.35">
      <c r="A13" s="631"/>
      <c r="B13" s="637"/>
      <c r="C13" s="605"/>
      <c r="D13" s="605"/>
      <c r="E13" s="599"/>
      <c r="F13" s="600"/>
      <c r="G13" s="606"/>
      <c r="H13" s="600"/>
    </row>
    <row r="14" spans="1:8" x14ac:dyDescent="0.35">
      <c r="A14" s="631" t="s">
        <v>278</v>
      </c>
      <c r="B14" s="637" t="s">
        <v>546</v>
      </c>
      <c r="C14" s="607">
        <v>11.6</v>
      </c>
      <c r="D14" s="607">
        <f>C14</f>
        <v>11.6</v>
      </c>
      <c r="E14" s="599"/>
      <c r="F14" s="600"/>
      <c r="G14" s="600"/>
      <c r="H14" s="600"/>
    </row>
    <row r="15" spans="1:8" x14ac:dyDescent="0.35">
      <c r="A15" s="634" t="s">
        <v>421</v>
      </c>
      <c r="B15" s="604"/>
      <c r="C15" s="597"/>
      <c r="D15" s="600"/>
      <c r="E15" s="599"/>
      <c r="F15" s="600"/>
      <c r="G15" s="600"/>
      <c r="H15" s="600"/>
    </row>
    <row r="16" spans="1:8" ht="14.25" hidden="1" customHeight="1" x14ac:dyDescent="0.35">
      <c r="A16" s="638"/>
      <c r="B16" s="637"/>
      <c r="C16" s="607"/>
      <c r="D16" s="600"/>
      <c r="E16" s="599"/>
      <c r="F16" s="600"/>
      <c r="G16" s="600"/>
      <c r="H16" s="600"/>
    </row>
    <row r="17" spans="1:8" ht="14.25" customHeight="1" x14ac:dyDescent="0.35">
      <c r="A17" s="638" t="s">
        <v>278</v>
      </c>
      <c r="B17" s="637" t="s">
        <v>431</v>
      </c>
      <c r="C17" s="607">
        <v>4</v>
      </c>
      <c r="D17" s="608"/>
      <c r="E17" s="599"/>
      <c r="F17" s="600"/>
      <c r="G17" s="600"/>
      <c r="H17" s="600"/>
    </row>
    <row r="18" spans="1:8" ht="14.25" customHeight="1" x14ac:dyDescent="0.35">
      <c r="A18" s="634" t="s">
        <v>397</v>
      </c>
      <c r="B18" s="604" t="s">
        <v>432</v>
      </c>
      <c r="C18" s="597">
        <f>50*21/1000</f>
        <v>1.05</v>
      </c>
      <c r="D18" s="600"/>
      <c r="E18" s="599"/>
      <c r="F18" s="600"/>
      <c r="G18" s="600"/>
      <c r="H18" s="600"/>
    </row>
    <row r="19" spans="1:8" ht="14.25" customHeight="1" x14ac:dyDescent="0.35">
      <c r="A19" s="631" t="s">
        <v>398</v>
      </c>
      <c r="B19" s="604" t="s">
        <v>432</v>
      </c>
      <c r="C19" s="597">
        <f>C18*0.6</f>
        <v>0.63</v>
      </c>
      <c r="D19" s="600"/>
      <c r="E19" s="599"/>
      <c r="F19" s="600"/>
      <c r="G19" s="600"/>
      <c r="H19" s="600"/>
    </row>
    <row r="20" spans="1:8" ht="14.25" customHeight="1" x14ac:dyDescent="0.35">
      <c r="A20" s="631" t="s">
        <v>399</v>
      </c>
      <c r="B20" s="604" t="s">
        <v>432</v>
      </c>
      <c r="C20" s="597">
        <f>C18*0.4</f>
        <v>0.42000000000000004</v>
      </c>
      <c r="D20" s="600"/>
      <c r="E20" s="599"/>
      <c r="F20" s="600"/>
      <c r="G20" s="609"/>
      <c r="H20" s="600"/>
    </row>
    <row r="21" spans="1:8" x14ac:dyDescent="0.35">
      <c r="A21" s="600"/>
      <c r="B21" s="600"/>
      <c r="C21" s="600"/>
      <c r="D21" s="600"/>
      <c r="E21" s="599"/>
      <c r="F21" s="600"/>
      <c r="G21" s="600"/>
      <c r="H21" s="600"/>
    </row>
    <row r="22" spans="1:8" ht="18.75" customHeight="1" x14ac:dyDescent="0.35">
      <c r="A22" s="632" t="s">
        <v>433</v>
      </c>
      <c r="B22" s="639"/>
      <c r="C22" s="610"/>
      <c r="D22" s="610"/>
      <c r="E22" s="611"/>
      <c r="F22" s="600"/>
      <c r="G22" s="600"/>
      <c r="H22" s="600"/>
    </row>
    <row r="23" spans="1:8" ht="18.75" customHeight="1" x14ac:dyDescent="0.35">
      <c r="A23" s="640" t="s">
        <v>280</v>
      </c>
      <c r="B23" s="859" t="s">
        <v>2</v>
      </c>
      <c r="C23" s="859" t="s">
        <v>341</v>
      </c>
      <c r="D23" s="859" t="s">
        <v>428</v>
      </c>
      <c r="E23" s="864" t="s">
        <v>434</v>
      </c>
      <c r="F23" s="859" t="s">
        <v>270</v>
      </c>
      <c r="G23" s="859" t="s">
        <v>274</v>
      </c>
      <c r="H23" s="600"/>
    </row>
    <row r="24" spans="1:8" x14ac:dyDescent="0.35">
      <c r="A24" s="641"/>
      <c r="B24" s="860"/>
      <c r="C24" s="860"/>
      <c r="D24" s="860"/>
      <c r="E24" s="865"/>
      <c r="F24" s="860"/>
      <c r="G24" s="860"/>
      <c r="H24" s="600"/>
    </row>
    <row r="25" spans="1:8" hidden="1" x14ac:dyDescent="0.35">
      <c r="A25" s="597" t="s">
        <v>430</v>
      </c>
      <c r="B25" s="642" t="s">
        <v>279</v>
      </c>
      <c r="C25" s="612"/>
      <c r="D25" s="612"/>
      <c r="E25" s="612"/>
      <c r="F25" s="597"/>
      <c r="G25" s="612"/>
      <c r="H25" s="600"/>
    </row>
    <row r="26" spans="1:8" hidden="1" x14ac:dyDescent="0.35">
      <c r="A26" s="597"/>
      <c r="B26" s="642"/>
      <c r="C26" s="613"/>
      <c r="D26" s="613"/>
      <c r="E26" s="613"/>
      <c r="F26" s="597"/>
      <c r="G26" s="613"/>
      <c r="H26" s="600"/>
    </row>
    <row r="27" spans="1:8" x14ac:dyDescent="0.35">
      <c r="A27" s="597" t="s">
        <v>278</v>
      </c>
      <c r="B27" s="642" t="s">
        <v>279</v>
      </c>
      <c r="C27" s="614">
        <f>Ruumid!C36</f>
        <v>1621.3000000000002</v>
      </c>
      <c r="D27" s="614">
        <f>Tulud75!N33</f>
        <v>896.92499999999995</v>
      </c>
      <c r="E27" s="614">
        <f>Tulud75!O33</f>
        <v>142.57499999999999</v>
      </c>
      <c r="F27" s="597">
        <f>Ruumid!C26</f>
        <v>137</v>
      </c>
      <c r="G27" s="612">
        <f>Ruumid!C38</f>
        <v>397.9</v>
      </c>
      <c r="H27" s="600"/>
    </row>
    <row r="28" spans="1:8" x14ac:dyDescent="0.35">
      <c r="A28" s="597"/>
      <c r="B28" s="642"/>
      <c r="C28" s="613">
        <f>C27/$C$27</f>
        <v>1</v>
      </c>
      <c r="D28" s="613">
        <f>D27/$C$27</f>
        <v>0.55321347067168314</v>
      </c>
      <c r="E28" s="613">
        <f>E27/$C$27</f>
        <v>8.7938691173749445E-2</v>
      </c>
      <c r="F28" s="613">
        <f>F27/$C$27</f>
        <v>8.4500092518349459E-2</v>
      </c>
      <c r="G28" s="613">
        <f>G27/$C$27</f>
        <v>0.24542034170110402</v>
      </c>
      <c r="H28" s="600"/>
    </row>
    <row r="29" spans="1:8" x14ac:dyDescent="0.35">
      <c r="A29" s="600"/>
      <c r="B29" s="643"/>
      <c r="C29" s="644"/>
      <c r="D29" s="644"/>
      <c r="E29" s="644"/>
      <c r="F29" s="644"/>
      <c r="G29" s="644"/>
      <c r="H29" s="600"/>
    </row>
    <row r="30" spans="1:8" x14ac:dyDescent="0.35">
      <c r="A30" s="632" t="s">
        <v>458</v>
      </c>
      <c r="B30" s="643"/>
      <c r="C30" s="644"/>
      <c r="D30" s="644"/>
      <c r="E30" s="644"/>
      <c r="F30" s="644"/>
      <c r="G30" s="644"/>
      <c r="H30" s="600"/>
    </row>
    <row r="31" spans="1:8" ht="15" customHeight="1" x14ac:dyDescent="0.35">
      <c r="A31" s="640" t="s">
        <v>280</v>
      </c>
      <c r="B31" s="861" t="s">
        <v>2</v>
      </c>
      <c r="C31" s="863" t="s">
        <v>459</v>
      </c>
      <c r="D31" s="863"/>
      <c r="E31" s="863"/>
      <c r="F31" s="600"/>
      <c r="G31" s="600"/>
      <c r="H31" s="600"/>
    </row>
    <row r="32" spans="1:8" ht="43.5" x14ac:dyDescent="0.35">
      <c r="A32" s="641"/>
      <c r="B32" s="862"/>
      <c r="C32" s="645" t="s">
        <v>460</v>
      </c>
      <c r="D32" s="646" t="s">
        <v>461</v>
      </c>
      <c r="E32" s="645" t="s">
        <v>341</v>
      </c>
      <c r="F32" s="600"/>
      <c r="G32" s="600"/>
      <c r="H32" s="600"/>
    </row>
    <row r="33" spans="1:8" hidden="1" x14ac:dyDescent="0.35">
      <c r="A33" s="597" t="s">
        <v>430</v>
      </c>
      <c r="B33" s="647" t="s">
        <v>279</v>
      </c>
      <c r="C33" s="612"/>
      <c r="D33" s="612"/>
      <c r="E33" s="612"/>
      <c r="F33" s="600"/>
      <c r="G33" s="600"/>
      <c r="H33" s="600"/>
    </row>
    <row r="34" spans="1:8" hidden="1" x14ac:dyDescent="0.35">
      <c r="A34" s="597"/>
      <c r="B34" s="647"/>
      <c r="C34" s="613"/>
      <c r="D34" s="613"/>
      <c r="E34" s="613"/>
      <c r="F34" s="600"/>
      <c r="G34" s="600"/>
      <c r="H34" s="600"/>
    </row>
    <row r="35" spans="1:8" x14ac:dyDescent="0.35">
      <c r="A35" s="597" t="s">
        <v>278</v>
      </c>
      <c r="B35" s="647" t="s">
        <v>279</v>
      </c>
      <c r="C35" s="614">
        <f>Tulud75!N33</f>
        <v>896.92499999999995</v>
      </c>
      <c r="D35" s="614">
        <f>Tulud75!O33+Ruumid!C26</f>
        <v>279.57499999999999</v>
      </c>
      <c r="E35" s="612">
        <f>SUM(C35:D35)</f>
        <v>1176.5</v>
      </c>
      <c r="F35" s="600"/>
      <c r="G35" s="600"/>
      <c r="H35" s="600"/>
    </row>
    <row r="36" spans="1:8" x14ac:dyDescent="0.35">
      <c r="A36" s="597"/>
      <c r="B36" s="647"/>
      <c r="C36" s="613">
        <f>C35/E35</f>
        <v>0.76236719082022941</v>
      </c>
      <c r="D36" s="613">
        <f>D35/E35</f>
        <v>0.2376328091797705</v>
      </c>
      <c r="E36" s="613">
        <f>E35/E35</f>
        <v>1</v>
      </c>
      <c r="F36" s="600"/>
      <c r="G36" s="600"/>
      <c r="H36" s="600"/>
    </row>
    <row r="37" spans="1:8" x14ac:dyDescent="0.35">
      <c r="A37" s="597" t="s">
        <v>341</v>
      </c>
      <c r="B37" s="648" t="s">
        <v>279</v>
      </c>
      <c r="C37" s="649">
        <f>C33+C35</f>
        <v>896.92499999999995</v>
      </c>
      <c r="D37" s="649">
        <f>D33+D35</f>
        <v>279.57499999999999</v>
      </c>
      <c r="E37" s="649">
        <f>E33+E35</f>
        <v>1176.5</v>
      </c>
      <c r="F37" s="600"/>
      <c r="G37" s="600"/>
      <c r="H37" s="600"/>
    </row>
    <row r="38" spans="1:8" x14ac:dyDescent="0.35">
      <c r="A38" s="597"/>
      <c r="B38" s="647"/>
      <c r="C38" s="613">
        <f>C37/E37</f>
        <v>0.76236719082022941</v>
      </c>
      <c r="D38" s="613">
        <f>D37/E37</f>
        <v>0.2376328091797705</v>
      </c>
      <c r="E38" s="613">
        <f>E37/E37</f>
        <v>1</v>
      </c>
      <c r="F38" s="600"/>
      <c r="G38" s="600"/>
      <c r="H38" s="600"/>
    </row>
    <row r="39" spans="1:8" x14ac:dyDescent="0.35">
      <c r="A39" s="600"/>
      <c r="B39" s="600"/>
      <c r="C39" s="600"/>
      <c r="D39" s="600"/>
      <c r="E39" s="599"/>
      <c r="F39" s="600"/>
      <c r="G39" s="600"/>
      <c r="H39" s="600"/>
    </row>
    <row r="40" spans="1:8" x14ac:dyDescent="0.35">
      <c r="A40" s="632" t="s">
        <v>435</v>
      </c>
      <c r="B40" s="600"/>
      <c r="C40" s="600"/>
      <c r="D40" s="600"/>
      <c r="E40" s="599"/>
      <c r="F40" s="600"/>
      <c r="G40" s="600" t="s">
        <v>440</v>
      </c>
      <c r="H40" s="600"/>
    </row>
    <row r="41" spans="1:8" ht="43.5" x14ac:dyDescent="0.35">
      <c r="A41" s="650" t="s">
        <v>280</v>
      </c>
      <c r="B41" s="645" t="str">
        <f>B23</f>
        <v>Ühik</v>
      </c>
      <c r="C41" s="645" t="s">
        <v>437</v>
      </c>
      <c r="D41" s="646" t="s">
        <v>438</v>
      </c>
      <c r="E41" s="646" t="s">
        <v>439</v>
      </c>
      <c r="F41" s="600"/>
      <c r="G41" s="645" t="s">
        <v>441</v>
      </c>
      <c r="H41" s="645" t="s">
        <v>442</v>
      </c>
    </row>
    <row r="42" spans="1:8" hidden="1" x14ac:dyDescent="0.35">
      <c r="A42" s="597" t="str">
        <f>A33</f>
        <v>Stuudio</v>
      </c>
      <c r="B42" s="597" t="s">
        <v>436</v>
      </c>
      <c r="C42" s="651"/>
      <c r="D42" s="597"/>
      <c r="E42" s="612"/>
      <c r="F42" s="600"/>
      <c r="G42" s="651"/>
      <c r="H42" s="597"/>
    </row>
    <row r="43" spans="1:8" x14ac:dyDescent="0.35">
      <c r="A43" s="597" t="str">
        <f>A35</f>
        <v>Inkubaator</v>
      </c>
      <c r="B43" s="597" t="s">
        <v>436</v>
      </c>
      <c r="C43" s="651">
        <v>1</v>
      </c>
      <c r="D43" s="597">
        <f>C43*8</f>
        <v>8</v>
      </c>
      <c r="E43" s="612">
        <f>D43*250</f>
        <v>2000</v>
      </c>
      <c r="F43" s="600"/>
      <c r="G43" s="651">
        <v>3</v>
      </c>
      <c r="H43" s="597">
        <f>G43*250</f>
        <v>750</v>
      </c>
    </row>
    <row r="44" spans="1:8" x14ac:dyDescent="0.35">
      <c r="A44" s="600"/>
      <c r="B44" s="600"/>
      <c r="C44" s="600"/>
      <c r="D44" s="600"/>
      <c r="E44" s="599"/>
      <c r="F44" s="600"/>
      <c r="G44" s="600"/>
      <c r="H44" s="600"/>
    </row>
    <row r="45" spans="1:8" x14ac:dyDescent="0.35">
      <c r="A45" s="632" t="s">
        <v>443</v>
      </c>
      <c r="B45" s="600"/>
      <c r="C45" s="600"/>
      <c r="D45" s="600"/>
      <c r="E45" s="600"/>
      <c r="F45" s="600"/>
      <c r="G45" s="600"/>
      <c r="H45" s="600"/>
    </row>
    <row r="46" spans="1:8" ht="29" x14ac:dyDescent="0.35">
      <c r="A46" s="650" t="s">
        <v>280</v>
      </c>
      <c r="B46" s="645" t="s">
        <v>445</v>
      </c>
      <c r="C46" s="645" t="s">
        <v>444</v>
      </c>
      <c r="D46" s="600"/>
      <c r="E46" s="600"/>
      <c r="F46" s="600"/>
      <c r="G46" s="600"/>
      <c r="H46" s="600"/>
    </row>
    <row r="47" spans="1:8" hidden="1" x14ac:dyDescent="0.35">
      <c r="A47" s="597" t="str">
        <f>A42</f>
        <v>Stuudio</v>
      </c>
      <c r="B47" s="597"/>
      <c r="C47" s="614"/>
      <c r="D47" s="600"/>
      <c r="E47" s="600"/>
      <c r="F47" s="600"/>
      <c r="G47" s="600"/>
      <c r="H47" s="600"/>
    </row>
    <row r="48" spans="1:8" x14ac:dyDescent="0.35">
      <c r="A48" s="597" t="str">
        <f>A43</f>
        <v>Inkubaator</v>
      </c>
      <c r="B48" s="597">
        <v>10</v>
      </c>
      <c r="C48" s="614">
        <f>C35/B48</f>
        <v>89.692499999999995</v>
      </c>
      <c r="D48" s="600"/>
      <c r="E48" s="600"/>
      <c r="F48" s="600"/>
      <c r="G48" s="600"/>
      <c r="H48" s="600"/>
    </row>
    <row r="49" spans="1:8" x14ac:dyDescent="0.35">
      <c r="A49" s="597" t="s">
        <v>341</v>
      </c>
      <c r="B49" s="597"/>
      <c r="C49" s="614">
        <f>SUM(C47:C48)</f>
        <v>89.692499999999995</v>
      </c>
      <c r="D49" s="600"/>
      <c r="E49" s="600"/>
      <c r="F49" s="600"/>
      <c r="G49" s="600"/>
      <c r="H49" s="600"/>
    </row>
    <row r="50" spans="1:8" x14ac:dyDescent="0.35">
      <c r="E50" s="709"/>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77"/>
  <sheetViews>
    <sheetView workbookViewId="0">
      <selection activeCell="M29" sqref="M29"/>
    </sheetView>
  </sheetViews>
  <sheetFormatPr defaultColWidth="9.1796875" defaultRowHeight="14.5" outlineLevelRow="1" outlineLevelCol="1" x14ac:dyDescent="0.35"/>
  <cols>
    <col min="1" max="1" width="32.81640625" style="708" customWidth="1"/>
    <col min="2" max="2" width="15.1796875" style="708" customWidth="1" outlineLevel="1"/>
    <col min="3" max="3" width="9.36328125" style="708" customWidth="1" outlineLevel="1"/>
    <col min="4" max="5" width="14.1796875" style="708" customWidth="1"/>
    <col min="6" max="6" width="14.81640625" style="708" hidden="1" customWidth="1" outlineLevel="1"/>
    <col min="7" max="7" width="17.453125" style="708" hidden="1" customWidth="1" outlineLevel="1"/>
    <col min="8" max="8" width="16.1796875" style="708" hidden="1" customWidth="1" outlineLevel="1"/>
    <col min="9" max="9" width="11.81640625" style="708" hidden="1" customWidth="1" outlineLevel="1"/>
    <col min="10" max="10" width="21.453125" style="708" hidden="1" customWidth="1" outlineLevel="1"/>
    <col min="11" max="11" width="17" style="708" hidden="1" customWidth="1" outlineLevel="1"/>
    <col min="12" max="12" width="9.1796875" style="708" collapsed="1"/>
    <col min="13" max="16384" width="9.1796875" style="708"/>
  </cols>
  <sheetData>
    <row r="1" spans="1:18" x14ac:dyDescent="0.35">
      <c r="A1" s="668" t="s">
        <v>9</v>
      </c>
      <c r="B1" s="600"/>
      <c r="C1" s="600"/>
      <c r="D1" s="652"/>
      <c r="E1" s="652"/>
      <c r="F1" s="494"/>
      <c r="G1" s="489">
        <f>'[2]5. Abikõlblik kulu'!D13</f>
        <v>0</v>
      </c>
      <c r="H1"/>
      <c r="I1"/>
      <c r="J1"/>
      <c r="K1"/>
      <c r="L1"/>
      <c r="M1"/>
      <c r="N1"/>
      <c r="O1"/>
      <c r="P1"/>
      <c r="Q1"/>
      <c r="R1"/>
    </row>
    <row r="2" spans="1:18" ht="43.5" x14ac:dyDescent="0.35">
      <c r="A2" s="597"/>
      <c r="B2" s="669"/>
      <c r="C2" s="603"/>
      <c r="D2" s="645" t="s">
        <v>475</v>
      </c>
      <c r="E2" s="645" t="s">
        <v>476</v>
      </c>
      <c r="F2" s="484" t="s">
        <v>284</v>
      </c>
      <c r="G2" s="484" t="s">
        <v>285</v>
      </c>
      <c r="H2"/>
      <c r="I2"/>
      <c r="J2"/>
      <c r="K2"/>
      <c r="L2"/>
      <c r="M2"/>
      <c r="N2"/>
      <c r="O2"/>
      <c r="P2"/>
      <c r="Q2"/>
      <c r="R2"/>
    </row>
    <row r="3" spans="1:18" x14ac:dyDescent="0.35">
      <c r="A3" s="670" t="s">
        <v>348</v>
      </c>
      <c r="B3" s="637"/>
      <c r="C3" s="671"/>
      <c r="D3" s="671"/>
      <c r="E3" s="671"/>
      <c r="F3" s="485"/>
      <c r="G3" s="485"/>
      <c r="H3"/>
      <c r="I3"/>
      <c r="J3"/>
      <c r="K3"/>
      <c r="L3"/>
      <c r="M3"/>
      <c r="N3"/>
      <c r="O3"/>
      <c r="P3"/>
      <c r="Q3"/>
      <c r="R3"/>
    </row>
    <row r="4" spans="1:18" x14ac:dyDescent="0.35">
      <c r="A4" s="637" t="s">
        <v>410</v>
      </c>
      <c r="B4" s="637"/>
      <c r="C4" s="671"/>
      <c r="D4" s="671">
        <f>E4/12</f>
        <v>727.49082713333337</v>
      </c>
      <c r="E4" s="671">
        <f>E20+E14+E5</f>
        <v>8729.8899256000004</v>
      </c>
      <c r="F4" s="502">
        <f t="shared" ref="F4:G4" si="0">F20+F14+F5</f>
        <v>6717.9896920346619</v>
      </c>
      <c r="G4" s="502">
        <f t="shared" si="0"/>
        <v>2011.9002335653381</v>
      </c>
      <c r="H4" s="503">
        <f t="shared" ref="H4:H11" si="1">G4/$G$62</f>
        <v>1.5821311231998376E-2</v>
      </c>
      <c r="I4"/>
      <c r="J4"/>
      <c r="K4"/>
      <c r="L4"/>
      <c r="M4"/>
      <c r="N4"/>
      <c r="O4"/>
      <c r="P4"/>
      <c r="Q4"/>
      <c r="R4"/>
    </row>
    <row r="5" spans="1:18" x14ac:dyDescent="0.35">
      <c r="A5" s="636" t="s">
        <v>286</v>
      </c>
      <c r="B5" s="672" t="s">
        <v>547</v>
      </c>
      <c r="C5" s="671">
        <f>C6+C9</f>
        <v>75.228319999999997</v>
      </c>
      <c r="D5" s="673"/>
      <c r="E5" s="671">
        <f>E6+E9</f>
        <v>4722.8339296000004</v>
      </c>
      <c r="F5" s="504">
        <f>F6+F9</f>
        <v>3600.5336356196176</v>
      </c>
      <c r="G5" s="504">
        <f>E5-F5</f>
        <v>1122.3002939803828</v>
      </c>
      <c r="H5" s="503">
        <f t="shared" si="1"/>
        <v>8.825617667611977E-3</v>
      </c>
      <c r="I5"/>
      <c r="J5"/>
      <c r="K5"/>
      <c r="L5"/>
      <c r="M5"/>
      <c r="N5"/>
      <c r="O5"/>
      <c r="P5"/>
      <c r="Q5"/>
      <c r="R5"/>
    </row>
    <row r="6" spans="1:18" hidden="1" outlineLevel="1" x14ac:dyDescent="0.35">
      <c r="A6" s="674" t="s">
        <v>430</v>
      </c>
      <c r="B6" s="672" t="s">
        <v>547</v>
      </c>
      <c r="C6" s="675">
        <f>SUM(C7:C8)</f>
        <v>0</v>
      </c>
      <c r="D6" s="673"/>
      <c r="E6" s="675">
        <f>SUM(E7:E8)</f>
        <v>0</v>
      </c>
      <c r="F6" s="505">
        <f>SUM(F7:F8)</f>
        <v>0</v>
      </c>
      <c r="G6" s="505">
        <f>E6-F6</f>
        <v>0</v>
      </c>
      <c r="H6" s="503">
        <f t="shared" si="1"/>
        <v>0</v>
      </c>
      <c r="I6"/>
      <c r="J6"/>
      <c r="K6"/>
      <c r="L6"/>
      <c r="M6"/>
      <c r="N6"/>
      <c r="O6"/>
      <c r="P6"/>
      <c r="Q6"/>
      <c r="R6"/>
    </row>
    <row r="7" spans="1:18" hidden="1" outlineLevel="1" x14ac:dyDescent="0.35">
      <c r="A7" s="676" t="s">
        <v>477</v>
      </c>
      <c r="B7" s="672" t="s">
        <v>547</v>
      </c>
      <c r="C7" s="717"/>
      <c r="D7" s="677"/>
      <c r="E7" s="675">
        <f>C7*Eeldused75!$C$4</f>
        <v>0</v>
      </c>
      <c r="F7" s="505">
        <f>E7</f>
        <v>0</v>
      </c>
      <c r="G7" s="505">
        <f>E7-F7</f>
        <v>0</v>
      </c>
      <c r="H7" s="503">
        <f t="shared" si="1"/>
        <v>0</v>
      </c>
      <c r="I7"/>
      <c r="J7"/>
      <c r="K7"/>
      <c r="L7"/>
      <c r="M7"/>
      <c r="N7"/>
      <c r="O7"/>
      <c r="P7"/>
      <c r="Q7"/>
      <c r="R7"/>
    </row>
    <row r="8" spans="1:18" hidden="1" outlineLevel="1" x14ac:dyDescent="0.35">
      <c r="A8" s="678" t="s">
        <v>478</v>
      </c>
      <c r="B8" s="672" t="s">
        <v>547</v>
      </c>
      <c r="C8" s="717"/>
      <c r="D8" s="677"/>
      <c r="E8" s="675">
        <f>C8*Eeldused75!$C$4</f>
        <v>0</v>
      </c>
      <c r="F8" s="505"/>
      <c r="G8" s="505">
        <f>E8-F8</f>
        <v>0</v>
      </c>
      <c r="H8" s="503">
        <f t="shared" si="1"/>
        <v>0</v>
      </c>
      <c r="I8"/>
      <c r="J8"/>
      <c r="K8"/>
      <c r="L8"/>
      <c r="M8"/>
      <c r="N8"/>
      <c r="O8"/>
      <c r="P8"/>
      <c r="Q8"/>
      <c r="R8"/>
    </row>
    <row r="9" spans="1:18" hidden="1" outlineLevel="1" x14ac:dyDescent="0.35">
      <c r="A9" s="674" t="s">
        <v>278</v>
      </c>
      <c r="B9" s="672" t="s">
        <v>547</v>
      </c>
      <c r="C9" s="675">
        <f>SUM(C10:C13)</f>
        <v>75.228319999999997</v>
      </c>
      <c r="D9" s="677"/>
      <c r="E9" s="675">
        <f>SUM(E10:E13)</f>
        <v>4722.8339296000004</v>
      </c>
      <c r="F9" s="505">
        <f>SUM(F10:F13)</f>
        <v>3600.5336356196176</v>
      </c>
      <c r="G9" s="505">
        <f>SUM(G10:G13)</f>
        <v>1122.3002939803825</v>
      </c>
      <c r="H9" s="503">
        <f t="shared" si="1"/>
        <v>8.8256176676119753E-3</v>
      </c>
      <c r="I9"/>
      <c r="J9"/>
      <c r="K9"/>
      <c r="L9"/>
      <c r="M9"/>
      <c r="N9"/>
      <c r="O9"/>
      <c r="P9"/>
      <c r="Q9"/>
      <c r="R9"/>
    </row>
    <row r="10" spans="1:18" hidden="1" outlineLevel="1" x14ac:dyDescent="0.35">
      <c r="A10" s="676" t="s">
        <v>477</v>
      </c>
      <c r="B10" s="672" t="s">
        <v>547</v>
      </c>
      <c r="C10" s="717">
        <f>Eeldused75!C14*(Eeldused75!C36*Ruumid!B36)/1000</f>
        <v>57.351602988525286</v>
      </c>
      <c r="D10" s="677"/>
      <c r="E10" s="675">
        <f>C10*Eeldused75!$C$4</f>
        <v>3600.5336356196176</v>
      </c>
      <c r="F10" s="505">
        <f>E10</f>
        <v>3600.5336356196176</v>
      </c>
      <c r="G10" s="505">
        <f>E10-F10</f>
        <v>0</v>
      </c>
      <c r="H10" s="503">
        <f t="shared" si="1"/>
        <v>0</v>
      </c>
      <c r="I10"/>
      <c r="J10"/>
      <c r="K10"/>
      <c r="L10"/>
      <c r="M10"/>
      <c r="N10"/>
      <c r="O10"/>
      <c r="P10"/>
      <c r="Q10"/>
      <c r="R10"/>
    </row>
    <row r="11" spans="1:18" ht="17.25" hidden="1" customHeight="1" outlineLevel="1" x14ac:dyDescent="0.35">
      <c r="A11" s="678" t="s">
        <v>478</v>
      </c>
      <c r="B11" s="672" t="s">
        <v>547</v>
      </c>
      <c r="C11" s="717">
        <f>Eeldused75!D14*(Eeldused75!D36*Ruumid!B36)/1000</f>
        <v>17.876717011474714</v>
      </c>
      <c r="D11" s="677"/>
      <c r="E11" s="675">
        <f>C11*Eeldused75!$C$4</f>
        <v>1122.3002939803825</v>
      </c>
      <c r="F11" s="505"/>
      <c r="G11" s="505">
        <f>E11</f>
        <v>1122.3002939803825</v>
      </c>
      <c r="H11" s="503">
        <f t="shared" si="1"/>
        <v>8.8256176676119753E-3</v>
      </c>
      <c r="I11"/>
      <c r="J11"/>
      <c r="K11"/>
      <c r="L11"/>
      <c r="M11"/>
      <c r="N11"/>
      <c r="O11"/>
      <c r="P11"/>
      <c r="Q11"/>
      <c r="R11"/>
    </row>
    <row r="12" spans="1:18" ht="14.25" hidden="1" customHeight="1" outlineLevel="1" x14ac:dyDescent="0.35">
      <c r="A12" s="676"/>
      <c r="B12" s="672"/>
      <c r="C12" s="675"/>
      <c r="D12" s="677"/>
      <c r="E12" s="675"/>
      <c r="F12" s="506"/>
      <c r="G12" s="507"/>
      <c r="H12" s="503"/>
      <c r="I12"/>
      <c r="J12"/>
      <c r="K12"/>
      <c r="L12"/>
      <c r="M12"/>
      <c r="N12"/>
      <c r="O12"/>
      <c r="P12"/>
      <c r="Q12"/>
      <c r="R12"/>
    </row>
    <row r="13" spans="1:18" hidden="1" outlineLevel="1" x14ac:dyDescent="0.35">
      <c r="A13" s="676"/>
      <c r="B13" s="672"/>
      <c r="C13" s="675"/>
      <c r="D13" s="677"/>
      <c r="E13" s="675"/>
      <c r="F13" s="506"/>
      <c r="G13" s="507"/>
      <c r="H13" s="503"/>
      <c r="I13"/>
      <c r="J13"/>
      <c r="K13"/>
      <c r="L13"/>
      <c r="M13"/>
      <c r="N13"/>
      <c r="O13"/>
      <c r="P13"/>
      <c r="Q13"/>
      <c r="R13"/>
    </row>
    <row r="14" spans="1:18" collapsed="1" x14ac:dyDescent="0.35">
      <c r="A14" s="636" t="s">
        <v>287</v>
      </c>
      <c r="B14" s="672" t="s">
        <v>479</v>
      </c>
      <c r="C14" s="671">
        <f>C15+C17</f>
        <v>4436.1750000000002</v>
      </c>
      <c r="D14" s="673"/>
      <c r="E14" s="671">
        <f>E15+E17</f>
        <v>851.74559999999997</v>
      </c>
      <c r="F14" s="504">
        <f>F15+F17</f>
        <v>711.95093365065873</v>
      </c>
      <c r="G14" s="504">
        <f>G15+G17</f>
        <v>139.7946663493413</v>
      </c>
      <c r="H14" s="508">
        <f t="shared" ref="H14:H39" si="2">G14/$G$62</f>
        <v>1.099326342324057E-3</v>
      </c>
      <c r="I14"/>
      <c r="J14"/>
      <c r="K14"/>
      <c r="L14"/>
      <c r="M14"/>
      <c r="N14"/>
      <c r="O14"/>
      <c r="P14"/>
      <c r="Q14"/>
      <c r="R14"/>
    </row>
    <row r="15" spans="1:18" hidden="1" outlineLevel="1" x14ac:dyDescent="0.35">
      <c r="A15" s="674" t="str">
        <f>A6</f>
        <v>Stuudio</v>
      </c>
      <c r="B15" s="672" t="s">
        <v>480</v>
      </c>
      <c r="C15" s="675">
        <f>C16</f>
        <v>0</v>
      </c>
      <c r="D15" s="677"/>
      <c r="E15" s="675">
        <f>E16</f>
        <v>0</v>
      </c>
      <c r="F15" s="505">
        <f>F16</f>
        <v>0</v>
      </c>
      <c r="G15" s="505">
        <f>G16</f>
        <v>0</v>
      </c>
      <c r="H15" s="508">
        <f t="shared" si="2"/>
        <v>0</v>
      </c>
      <c r="I15"/>
      <c r="J15"/>
      <c r="K15"/>
      <c r="L15"/>
      <c r="M15"/>
      <c r="N15"/>
      <c r="O15"/>
      <c r="P15"/>
      <c r="Q15"/>
      <c r="R15"/>
    </row>
    <row r="16" spans="1:18" hidden="1" outlineLevel="1" x14ac:dyDescent="0.35">
      <c r="A16" s="676" t="s">
        <v>477</v>
      </c>
      <c r="B16" s="672" t="s">
        <v>480</v>
      </c>
      <c r="C16" s="675">
        <f>Eeldused75!C16*Eeldused75!H42*(Eeldused75!C25*Eeldused75!C34)/1000</f>
        <v>0</v>
      </c>
      <c r="D16" s="677"/>
      <c r="E16" s="675">
        <f>C16*Eeldused75!C5</f>
        <v>0</v>
      </c>
      <c r="F16" s="505">
        <f>E16</f>
        <v>0</v>
      </c>
      <c r="G16" s="505"/>
      <c r="H16" s="508">
        <f t="shared" si="2"/>
        <v>0</v>
      </c>
      <c r="I16"/>
      <c r="J16"/>
      <c r="K16"/>
      <c r="L16"/>
      <c r="M16"/>
      <c r="N16"/>
      <c r="O16"/>
      <c r="P16"/>
      <c r="Q16"/>
      <c r="R16"/>
    </row>
    <row r="17" spans="1:18" hidden="1" outlineLevel="1" x14ac:dyDescent="0.35">
      <c r="A17" s="674" t="str">
        <f>A9</f>
        <v>Inkubaator</v>
      </c>
      <c r="B17" s="672" t="s">
        <v>480</v>
      </c>
      <c r="C17" s="675">
        <f>SUM(C18:C19)</f>
        <v>4436.1750000000002</v>
      </c>
      <c r="D17" s="677"/>
      <c r="E17" s="675">
        <f>SUM(E18:E19)</f>
        <v>851.74559999999997</v>
      </c>
      <c r="F17" s="505">
        <f>SUM(F18:F19)</f>
        <v>711.95093365065873</v>
      </c>
      <c r="G17" s="505">
        <f>SUM(G18:G19)</f>
        <v>139.7946663493413</v>
      </c>
      <c r="H17" s="508">
        <f t="shared" si="2"/>
        <v>1.099326342324057E-3</v>
      </c>
      <c r="I17"/>
      <c r="J17"/>
      <c r="K17"/>
      <c r="L17"/>
      <c r="M17"/>
      <c r="N17"/>
      <c r="O17"/>
      <c r="P17"/>
      <c r="Q17"/>
      <c r="R17"/>
    </row>
    <row r="18" spans="1:18" hidden="1" outlineLevel="1" x14ac:dyDescent="0.35">
      <c r="A18" s="676" t="s">
        <v>477</v>
      </c>
      <c r="B18" s="672" t="s">
        <v>480</v>
      </c>
      <c r="C18" s="675">
        <f>Eeldused75!C17*Eeldused75!H43*(Eeldused75!C27*Eeldused75!C36)/1000</f>
        <v>3708.0777794305141</v>
      </c>
      <c r="D18" s="677"/>
      <c r="E18" s="675">
        <f>C18*Eeldused75!$C$5</f>
        <v>711.95093365065873</v>
      </c>
      <c r="F18" s="505">
        <f>E18</f>
        <v>711.95093365065873</v>
      </c>
      <c r="G18" s="505"/>
      <c r="H18" s="508">
        <f t="shared" si="2"/>
        <v>0</v>
      </c>
      <c r="I18"/>
      <c r="J18"/>
      <c r="K18"/>
      <c r="L18"/>
      <c r="M18"/>
      <c r="N18"/>
      <c r="O18"/>
      <c r="P18"/>
      <c r="Q18"/>
      <c r="R18"/>
    </row>
    <row r="19" spans="1:18" hidden="1" outlineLevel="1" x14ac:dyDescent="0.35">
      <c r="A19" s="678" t="s">
        <v>481</v>
      </c>
      <c r="B19" s="672" t="s">
        <v>480</v>
      </c>
      <c r="C19" s="675">
        <f>Eeldused75!C17*Eeldused75!H43*(Eeldused75!C27*Eeldused75!D36-Eeldused75!E27)/1000</f>
        <v>728.0972205694859</v>
      </c>
      <c r="D19" s="677"/>
      <c r="E19" s="675">
        <f>C19*Eeldused75!C5</f>
        <v>139.7946663493413</v>
      </c>
      <c r="F19" s="505"/>
      <c r="G19" s="505">
        <f>E19-F19</f>
        <v>139.7946663493413</v>
      </c>
      <c r="H19" s="508">
        <f t="shared" si="2"/>
        <v>1.099326342324057E-3</v>
      </c>
      <c r="I19"/>
      <c r="J19"/>
      <c r="K19"/>
      <c r="L19"/>
      <c r="M19"/>
      <c r="N19"/>
      <c r="O19"/>
      <c r="P19"/>
      <c r="Q19"/>
      <c r="R19"/>
    </row>
    <row r="20" spans="1:18" collapsed="1" x14ac:dyDescent="0.35">
      <c r="A20" s="636" t="s">
        <v>397</v>
      </c>
      <c r="B20" s="637" t="s">
        <v>387</v>
      </c>
      <c r="C20" s="671">
        <f>SUM(C21:C22)</f>
        <v>1130.1255000000001</v>
      </c>
      <c r="D20" s="671"/>
      <c r="E20" s="671">
        <f>C20*Eeldused75!C8+C21*Eeldused75!C6+C22*Eeldused75!C20</f>
        <v>3155.3103959999999</v>
      </c>
      <c r="F20" s="491">
        <f>E20*Eeldused75!C38</f>
        <v>2405.5051227643853</v>
      </c>
      <c r="G20" s="492">
        <f>E20*Eeldused75!D38</f>
        <v>749.8052732356141</v>
      </c>
      <c r="H20" s="508">
        <f t="shared" si="2"/>
        <v>5.8963672220623447E-3</v>
      </c>
      <c r="I20"/>
      <c r="J20"/>
      <c r="K20"/>
      <c r="L20"/>
      <c r="M20"/>
      <c r="N20"/>
      <c r="O20"/>
      <c r="P20"/>
      <c r="Q20"/>
      <c r="R20"/>
    </row>
    <row r="21" spans="1:18" hidden="1" outlineLevel="1" x14ac:dyDescent="0.35">
      <c r="A21" s="676" t="s">
        <v>398</v>
      </c>
      <c r="B21" s="637" t="s">
        <v>387</v>
      </c>
      <c r="C21" s="671">
        <f>Eeldused75!C19*Eeldused75!C49*12</f>
        <v>678.07529999999997</v>
      </c>
      <c r="D21" s="671"/>
      <c r="E21" s="671"/>
      <c r="F21" s="490"/>
      <c r="G21" s="490"/>
      <c r="H21" s="508">
        <f t="shared" si="2"/>
        <v>0</v>
      </c>
      <c r="I21"/>
      <c r="J21"/>
      <c r="K21"/>
      <c r="L21"/>
      <c r="M21"/>
      <c r="N21"/>
      <c r="O21"/>
      <c r="P21"/>
      <c r="Q21"/>
      <c r="R21"/>
    </row>
    <row r="22" spans="1:18" hidden="1" outlineLevel="1" x14ac:dyDescent="0.35">
      <c r="A22" s="676" t="s">
        <v>399</v>
      </c>
      <c r="B22" s="637" t="s">
        <v>387</v>
      </c>
      <c r="C22" s="671">
        <f>Eeldused75!C20*Eeldused75!C49*12</f>
        <v>452.05020000000002</v>
      </c>
      <c r="D22" s="671"/>
      <c r="E22" s="671"/>
      <c r="F22" s="490"/>
      <c r="G22" s="490"/>
      <c r="H22" s="508">
        <f t="shared" si="2"/>
        <v>0</v>
      </c>
      <c r="I22"/>
      <c r="J22"/>
      <c r="K22"/>
      <c r="L22"/>
      <c r="M22"/>
      <c r="N22"/>
      <c r="O22"/>
      <c r="P22"/>
      <c r="Q22"/>
      <c r="R22"/>
    </row>
    <row r="23" spans="1:18" collapsed="1" x14ac:dyDescent="0.35">
      <c r="A23" s="636"/>
      <c r="B23" s="637"/>
      <c r="C23" s="671"/>
      <c r="D23" s="597"/>
      <c r="E23" s="671"/>
      <c r="F23" s="506"/>
      <c r="G23" s="507"/>
      <c r="H23" s="503">
        <f t="shared" si="2"/>
        <v>0</v>
      </c>
      <c r="I23"/>
      <c r="J23"/>
      <c r="K23"/>
      <c r="L23"/>
      <c r="M23"/>
      <c r="N23"/>
      <c r="O23"/>
      <c r="P23"/>
      <c r="Q23"/>
      <c r="R23"/>
    </row>
    <row r="24" spans="1:18" x14ac:dyDescent="0.35">
      <c r="A24" s="604"/>
      <c r="B24" s="672"/>
      <c r="C24" s="671"/>
      <c r="D24" s="597"/>
      <c r="E24" s="671"/>
      <c r="F24" s="509"/>
      <c r="G24" s="507"/>
      <c r="H24" s="503">
        <f t="shared" si="2"/>
        <v>0</v>
      </c>
      <c r="I24"/>
      <c r="J24"/>
      <c r="K24"/>
      <c r="L24"/>
      <c r="M24"/>
      <c r="N24"/>
      <c r="O24"/>
      <c r="P24"/>
      <c r="Q24"/>
      <c r="R24"/>
    </row>
    <row r="25" spans="1:18" ht="29.25" customHeight="1" x14ac:dyDescent="0.35">
      <c r="A25" s="637" t="s">
        <v>409</v>
      </c>
      <c r="B25" s="636"/>
      <c r="C25" s="673"/>
      <c r="D25" s="671">
        <f>SUM(D26:D28)</f>
        <v>5655.7260000000006</v>
      </c>
      <c r="E25" s="671">
        <f>SUM(E26:E28)</f>
        <v>67868.712</v>
      </c>
      <c r="F25" s="509">
        <f>SUM(F26:F28)</f>
        <v>0</v>
      </c>
      <c r="G25" s="493">
        <f>SUM(G26:G28)</f>
        <v>67868.712</v>
      </c>
      <c r="H25" s="503">
        <f t="shared" si="2"/>
        <v>0.53371036871147692</v>
      </c>
      <c r="I25"/>
      <c r="J25"/>
      <c r="L25"/>
      <c r="M25"/>
      <c r="N25"/>
      <c r="O25"/>
      <c r="P25"/>
      <c r="Q25"/>
      <c r="R25"/>
    </row>
    <row r="26" spans="1:18" ht="17.5" hidden="1" customHeight="1" outlineLevel="1" x14ac:dyDescent="0.35">
      <c r="A26" s="636" t="s">
        <v>395</v>
      </c>
      <c r="B26" s="679" t="s">
        <v>549</v>
      </c>
      <c r="C26" s="671">
        <v>2818</v>
      </c>
      <c r="D26" s="671">
        <f>C26*1.338*K26</f>
        <v>1885.2420000000002</v>
      </c>
      <c r="E26" s="671">
        <f>D26*12</f>
        <v>22622.904000000002</v>
      </c>
      <c r="F26" s="510"/>
      <c r="G26" s="493">
        <f>E26</f>
        <v>22622.904000000002</v>
      </c>
      <c r="H26" s="503">
        <f t="shared" si="2"/>
        <v>0.17790345623715897</v>
      </c>
      <c r="I26"/>
      <c r="J26" t="s">
        <v>494</v>
      </c>
      <c r="K26" s="694">
        <v>0.5</v>
      </c>
      <c r="L26"/>
      <c r="M26"/>
      <c r="N26"/>
      <c r="O26"/>
      <c r="P26"/>
      <c r="Q26"/>
      <c r="R26"/>
    </row>
    <row r="27" spans="1:18" ht="26.25" hidden="1" customHeight="1" outlineLevel="1" x14ac:dyDescent="0.35">
      <c r="A27" s="636" t="s">
        <v>396</v>
      </c>
      <c r="B27" s="679" t="s">
        <v>549</v>
      </c>
      <c r="C27" s="671">
        <v>2818</v>
      </c>
      <c r="D27" s="671">
        <f>C27*1.338*K27</f>
        <v>1885.2420000000002</v>
      </c>
      <c r="E27" s="671">
        <f>D27*12</f>
        <v>22622.904000000002</v>
      </c>
      <c r="F27" s="510"/>
      <c r="G27" s="493">
        <f>E27</f>
        <v>22622.904000000002</v>
      </c>
      <c r="H27" s="503">
        <f t="shared" si="2"/>
        <v>0.17790345623715897</v>
      </c>
      <c r="I27"/>
      <c r="J27"/>
      <c r="K27" s="694">
        <v>0.5</v>
      </c>
      <c r="L27"/>
      <c r="M27"/>
      <c r="N27"/>
      <c r="O27"/>
      <c r="P27"/>
      <c r="Q27"/>
      <c r="R27"/>
    </row>
    <row r="28" spans="1:18" ht="13.5" hidden="1" customHeight="1" outlineLevel="1" x14ac:dyDescent="0.35">
      <c r="A28" s="636" t="s">
        <v>504</v>
      </c>
      <c r="B28" s="679" t="s">
        <v>549</v>
      </c>
      <c r="C28" s="671">
        <v>2818</v>
      </c>
      <c r="D28" s="671">
        <f>C28*1.338*K28</f>
        <v>1885.2420000000002</v>
      </c>
      <c r="E28" s="671">
        <f>D28*12</f>
        <v>22622.904000000002</v>
      </c>
      <c r="F28" s="510"/>
      <c r="G28" s="493">
        <f>E28</f>
        <v>22622.904000000002</v>
      </c>
      <c r="H28" s="503">
        <f t="shared" si="2"/>
        <v>0.17790345623715897</v>
      </c>
      <c r="I28"/>
      <c r="J28"/>
      <c r="K28" s="694">
        <v>0.5</v>
      </c>
      <c r="L28"/>
      <c r="M28"/>
      <c r="N28"/>
      <c r="O28"/>
      <c r="P28"/>
      <c r="Q28"/>
      <c r="R28"/>
    </row>
    <row r="29" spans="1:18" collapsed="1" x14ac:dyDescent="0.35">
      <c r="A29" s="637" t="s">
        <v>407</v>
      </c>
      <c r="B29" s="680"/>
      <c r="C29" s="681"/>
      <c r="D29" s="671">
        <f>E29/12</f>
        <v>450</v>
      </c>
      <c r="E29" s="681">
        <f>SUM(E30:E30)</f>
        <v>5400</v>
      </c>
      <c r="F29" s="509">
        <f>SUM(F30:F30)</f>
        <v>0</v>
      </c>
      <c r="G29" s="493">
        <f>SUM(G30:G30)</f>
        <v>5400</v>
      </c>
      <c r="H29" s="503">
        <f t="shared" si="2"/>
        <v>4.2464869394338516E-2</v>
      </c>
      <c r="I29"/>
      <c r="J29"/>
      <c r="K29"/>
      <c r="L29"/>
      <c r="M29"/>
      <c r="N29"/>
      <c r="O29"/>
      <c r="P29"/>
      <c r="Q29"/>
      <c r="R29"/>
    </row>
    <row r="30" spans="1:18" hidden="1" outlineLevel="1" x14ac:dyDescent="0.35">
      <c r="A30" s="636" t="s">
        <v>408</v>
      </c>
      <c r="B30" s="637"/>
      <c r="C30" s="671"/>
      <c r="D30" s="698">
        <v>450</v>
      </c>
      <c r="E30" s="671">
        <f>D30*12</f>
        <v>5400</v>
      </c>
      <c r="F30" s="510"/>
      <c r="G30" s="509">
        <f>E30</f>
        <v>5400</v>
      </c>
      <c r="H30" s="503">
        <f t="shared" si="2"/>
        <v>4.2464869394338516E-2</v>
      </c>
      <c r="I30"/>
      <c r="J30"/>
      <c r="K30"/>
      <c r="L30"/>
      <c r="M30"/>
      <c r="N30"/>
      <c r="O30"/>
      <c r="P30"/>
      <c r="Q30"/>
      <c r="R30"/>
    </row>
    <row r="31" spans="1:18" collapsed="1" x14ac:dyDescent="0.35">
      <c r="A31" s="637" t="s">
        <v>400</v>
      </c>
      <c r="B31" s="637"/>
      <c r="C31" s="671"/>
      <c r="D31" s="671">
        <f>E31/12</f>
        <v>700</v>
      </c>
      <c r="E31" s="671">
        <f>E32+E33</f>
        <v>8400</v>
      </c>
      <c r="F31" s="509">
        <f>SUM(F32:F33)</f>
        <v>0</v>
      </c>
      <c r="G31" s="509">
        <f>SUM(G32:G33)</f>
        <v>8400</v>
      </c>
      <c r="H31" s="503">
        <f t="shared" si="2"/>
        <v>6.6056463502304361E-2</v>
      </c>
      <c r="I31"/>
      <c r="J31"/>
      <c r="K31"/>
      <c r="L31"/>
      <c r="M31"/>
      <c r="N31"/>
      <c r="O31"/>
      <c r="P31"/>
      <c r="Q31"/>
      <c r="R31"/>
    </row>
    <row r="32" spans="1:18" ht="22" hidden="1" outlineLevel="1" x14ac:dyDescent="0.35">
      <c r="A32" s="636" t="s">
        <v>288</v>
      </c>
      <c r="B32" s="679" t="s">
        <v>289</v>
      </c>
      <c r="C32" s="671"/>
      <c r="D32" s="698">
        <v>500</v>
      </c>
      <c r="E32" s="671">
        <f>D32*12</f>
        <v>6000</v>
      </c>
      <c r="F32" s="510"/>
      <c r="G32" s="509">
        <f>E32</f>
        <v>6000</v>
      </c>
      <c r="H32" s="503">
        <f t="shared" si="2"/>
        <v>4.7183188215931683E-2</v>
      </c>
      <c r="I32"/>
      <c r="J32"/>
      <c r="K32"/>
      <c r="L32"/>
      <c r="M32"/>
      <c r="N32"/>
      <c r="O32"/>
      <c r="P32"/>
      <c r="Q32"/>
      <c r="R32"/>
    </row>
    <row r="33" spans="1:18" ht="29" hidden="1" outlineLevel="1" x14ac:dyDescent="0.35">
      <c r="A33" s="636" t="s">
        <v>290</v>
      </c>
      <c r="B33" s="637"/>
      <c r="C33" s="671"/>
      <c r="D33" s="698">
        <v>200</v>
      </c>
      <c r="E33" s="671">
        <f>D33*12</f>
        <v>2400</v>
      </c>
      <c r="F33" s="510"/>
      <c r="G33" s="509">
        <f>E33</f>
        <v>2400</v>
      </c>
      <c r="H33" s="503">
        <f t="shared" si="2"/>
        <v>1.8873275286372674E-2</v>
      </c>
      <c r="I33"/>
      <c r="J33"/>
      <c r="K33"/>
      <c r="L33"/>
      <c r="M33"/>
      <c r="N33"/>
      <c r="O33"/>
      <c r="P33"/>
      <c r="Q33"/>
      <c r="R33"/>
    </row>
    <row r="34" spans="1:18" collapsed="1" x14ac:dyDescent="0.35">
      <c r="A34" s="636"/>
      <c r="B34" s="637"/>
      <c r="C34" s="671"/>
      <c r="D34" s="671"/>
      <c r="E34" s="671"/>
      <c r="F34" s="510"/>
      <c r="G34" s="509"/>
      <c r="H34" s="503">
        <f t="shared" si="2"/>
        <v>0</v>
      </c>
      <c r="I34"/>
      <c r="J34"/>
      <c r="K34"/>
      <c r="L34"/>
      <c r="M34"/>
      <c r="N34"/>
      <c r="O34"/>
      <c r="P34"/>
      <c r="Q34"/>
      <c r="R34"/>
    </row>
    <row r="35" spans="1:18" x14ac:dyDescent="0.35">
      <c r="A35" s="636"/>
      <c r="B35" s="637"/>
      <c r="C35" s="671"/>
      <c r="D35" s="671"/>
      <c r="E35" s="671"/>
      <c r="F35" s="510"/>
      <c r="G35" s="509"/>
      <c r="H35" s="503">
        <f t="shared" si="2"/>
        <v>0</v>
      </c>
      <c r="I35"/>
      <c r="J35"/>
      <c r="K35"/>
      <c r="L35"/>
      <c r="M35"/>
      <c r="N35"/>
      <c r="O35"/>
      <c r="P35"/>
      <c r="Q35"/>
      <c r="R35"/>
    </row>
    <row r="36" spans="1:18" x14ac:dyDescent="0.35">
      <c r="A36" s="637" t="s">
        <v>401</v>
      </c>
      <c r="B36" s="637"/>
      <c r="C36" s="671"/>
      <c r="D36" s="671">
        <f>E36/12</f>
        <v>2583.3333333333335</v>
      </c>
      <c r="E36" s="671">
        <f>SUM(E37:E42)</f>
        <v>31000</v>
      </c>
      <c r="F36" s="510">
        <f t="shared" ref="F36:G36" si="3">SUM(F37:F42)</f>
        <v>0</v>
      </c>
      <c r="G36" s="509">
        <f t="shared" si="3"/>
        <v>31000</v>
      </c>
      <c r="H36" s="503">
        <f t="shared" si="2"/>
        <v>0.2437798057823137</v>
      </c>
      <c r="I36"/>
      <c r="J36"/>
      <c r="K36"/>
      <c r="L36"/>
      <c r="M36"/>
      <c r="N36"/>
      <c r="O36"/>
      <c r="P36"/>
      <c r="Q36"/>
      <c r="R36"/>
    </row>
    <row r="37" spans="1:18" ht="29" hidden="1" x14ac:dyDescent="0.35">
      <c r="A37" s="636" t="s">
        <v>291</v>
      </c>
      <c r="B37" s="637"/>
      <c r="C37" s="671"/>
      <c r="D37" s="671"/>
      <c r="E37" s="671">
        <v>31000</v>
      </c>
      <c r="F37" s="510"/>
      <c r="G37" s="509">
        <f>E37</f>
        <v>31000</v>
      </c>
      <c r="H37" s="503">
        <f t="shared" si="2"/>
        <v>0.2437798057823137</v>
      </c>
      <c r="I37"/>
      <c r="J37"/>
      <c r="K37"/>
      <c r="L37"/>
      <c r="M37"/>
      <c r="N37"/>
      <c r="O37"/>
      <c r="P37"/>
      <c r="Q37"/>
      <c r="R37"/>
    </row>
    <row r="38" spans="1:18" hidden="1" x14ac:dyDescent="0.35">
      <c r="A38" s="636"/>
      <c r="B38" s="637"/>
      <c r="C38" s="671"/>
      <c r="D38" s="671"/>
      <c r="E38" s="671"/>
      <c r="F38" s="510"/>
      <c r="G38" s="509"/>
      <c r="H38" s="503">
        <f t="shared" si="2"/>
        <v>0</v>
      </c>
      <c r="I38"/>
      <c r="J38"/>
      <c r="K38"/>
      <c r="L38"/>
      <c r="M38"/>
      <c r="N38"/>
      <c r="O38"/>
      <c r="P38"/>
      <c r="Q38"/>
      <c r="R38"/>
    </row>
    <row r="39" spans="1:18" hidden="1" x14ac:dyDescent="0.35">
      <c r="A39" s="636"/>
      <c r="B39" s="637"/>
      <c r="C39" s="671"/>
      <c r="D39" s="671"/>
      <c r="E39" s="671"/>
      <c r="F39" s="510"/>
      <c r="G39" s="509"/>
      <c r="H39" s="503">
        <f t="shared" si="2"/>
        <v>0</v>
      </c>
      <c r="I39"/>
      <c r="J39"/>
      <c r="K39"/>
      <c r="L39"/>
      <c r="M39"/>
      <c r="N39"/>
      <c r="O39"/>
      <c r="P39"/>
      <c r="Q39"/>
      <c r="R39"/>
    </row>
    <row r="40" spans="1:18" hidden="1" x14ac:dyDescent="0.35">
      <c r="A40" s="636"/>
      <c r="B40" s="637"/>
      <c r="C40" s="671"/>
      <c r="D40" s="671"/>
      <c r="E40" s="671"/>
      <c r="F40" s="510"/>
      <c r="G40" s="509"/>
      <c r="H40" s="503"/>
      <c r="I40"/>
      <c r="J40"/>
      <c r="K40"/>
      <c r="L40"/>
      <c r="M40"/>
      <c r="N40"/>
      <c r="O40"/>
      <c r="P40"/>
      <c r="Q40"/>
      <c r="R40"/>
    </row>
    <row r="41" spans="1:18" hidden="1" x14ac:dyDescent="0.35">
      <c r="A41" s="636"/>
      <c r="B41" s="637"/>
      <c r="C41" s="671"/>
      <c r="D41" s="671"/>
      <c r="E41" s="671"/>
      <c r="F41" s="510"/>
      <c r="G41" s="509"/>
      <c r="H41" s="503"/>
      <c r="I41"/>
      <c r="J41"/>
      <c r="K41"/>
      <c r="L41"/>
      <c r="M41"/>
      <c r="N41"/>
      <c r="O41"/>
      <c r="P41"/>
      <c r="Q41"/>
      <c r="R41"/>
    </row>
    <row r="42" spans="1:18" hidden="1" x14ac:dyDescent="0.35">
      <c r="A42" s="636"/>
      <c r="B42" s="637"/>
      <c r="C42" s="671"/>
      <c r="D42" s="671"/>
      <c r="E42" s="671"/>
      <c r="F42" s="510"/>
      <c r="G42" s="509"/>
      <c r="H42" s="503"/>
      <c r="I42"/>
      <c r="J42"/>
      <c r="K42"/>
      <c r="L42"/>
      <c r="M42"/>
      <c r="N42"/>
      <c r="O42"/>
      <c r="P42"/>
      <c r="Q42"/>
      <c r="R42"/>
    </row>
    <row r="43" spans="1:18" x14ac:dyDescent="0.35">
      <c r="A43" s="637" t="s">
        <v>464</v>
      </c>
      <c r="B43" s="637"/>
      <c r="C43" s="671"/>
      <c r="D43" s="671">
        <f>E43/12</f>
        <v>760</v>
      </c>
      <c r="E43" s="671">
        <f>SUM(E44:E47)</f>
        <v>9120</v>
      </c>
      <c r="F43" s="511">
        <f>SUM(F44:F47)</f>
        <v>6952.7887802804926</v>
      </c>
      <c r="G43" s="509">
        <f>SUM(G44:G47)</f>
        <v>2167.211219719507</v>
      </c>
      <c r="H43" s="503"/>
      <c r="I43"/>
      <c r="J43"/>
      <c r="K43"/>
      <c r="L43"/>
      <c r="M43"/>
      <c r="N43"/>
      <c r="O43"/>
      <c r="P43"/>
      <c r="Q43"/>
      <c r="R43"/>
    </row>
    <row r="44" spans="1:18" ht="32.5" hidden="1" outlineLevel="1" x14ac:dyDescent="0.35">
      <c r="A44" s="636" t="s">
        <v>292</v>
      </c>
      <c r="B44" s="679" t="s">
        <v>495</v>
      </c>
      <c r="C44" s="671"/>
      <c r="D44" s="671">
        <f>ROUND(8*8*10+700/12,-1)*1</f>
        <v>700</v>
      </c>
      <c r="E44" s="671">
        <f>D44*12</f>
        <v>8400</v>
      </c>
      <c r="F44" s="506">
        <f>E44*Eeldused75!$C$38</f>
        <v>6403.8844028899275</v>
      </c>
      <c r="G44" s="506">
        <f>E44*Eeldused75!$D$38</f>
        <v>1996.1155971100723</v>
      </c>
      <c r="H44" s="503">
        <f>G44/$G$62</f>
        <v>1.5697182986533567E-2</v>
      </c>
      <c r="I44"/>
      <c r="J44"/>
      <c r="K44"/>
      <c r="L44"/>
      <c r="M44"/>
      <c r="N44"/>
      <c r="O44"/>
      <c r="P44"/>
      <c r="Q44"/>
      <c r="R44"/>
    </row>
    <row r="45" spans="1:18" hidden="1" outlineLevel="1" x14ac:dyDescent="0.35">
      <c r="A45" s="636" t="s">
        <v>293</v>
      </c>
      <c r="B45" s="637"/>
      <c r="C45" s="671"/>
      <c r="D45" s="597">
        <v>60</v>
      </c>
      <c r="E45" s="671">
        <f>D45*12</f>
        <v>720</v>
      </c>
      <c r="F45" s="506">
        <f>E45*Eeldused75!$C$38</f>
        <v>548.90437739056517</v>
      </c>
      <c r="G45" s="506">
        <f>E45*Eeldused75!$D$38</f>
        <v>171.09562260943477</v>
      </c>
      <c r="H45" s="503">
        <f>G45/$G$62</f>
        <v>1.3454728274171629E-3</v>
      </c>
      <c r="I45"/>
      <c r="J45"/>
      <c r="K45"/>
      <c r="L45"/>
      <c r="M45"/>
      <c r="N45"/>
      <c r="O45"/>
      <c r="P45"/>
      <c r="Q45"/>
      <c r="R45"/>
    </row>
    <row r="46" spans="1:18" hidden="1" outlineLevel="1" x14ac:dyDescent="0.35">
      <c r="A46" s="636" t="s">
        <v>294</v>
      </c>
      <c r="B46" s="637"/>
      <c r="C46" s="671"/>
      <c r="D46" s="671"/>
      <c r="E46" s="671"/>
      <c r="F46" s="510"/>
      <c r="G46" s="509"/>
      <c r="H46" s="503"/>
      <c r="I46"/>
      <c r="J46"/>
      <c r="K46"/>
      <c r="L46"/>
      <c r="M46"/>
      <c r="N46"/>
      <c r="O46"/>
      <c r="P46"/>
      <c r="Q46"/>
      <c r="R46"/>
    </row>
    <row r="47" spans="1:18" collapsed="1" x14ac:dyDescent="0.35">
      <c r="A47" s="636"/>
      <c r="B47" s="637"/>
      <c r="C47" s="671"/>
      <c r="D47" s="671"/>
      <c r="E47" s="671"/>
      <c r="F47" s="510"/>
      <c r="G47" s="509"/>
      <c r="H47" s="503"/>
      <c r="I47"/>
      <c r="J47"/>
      <c r="K47"/>
      <c r="L47"/>
      <c r="M47"/>
      <c r="N47"/>
      <c r="O47"/>
      <c r="P47"/>
      <c r="Q47"/>
      <c r="R47"/>
    </row>
    <row r="48" spans="1:18" ht="18" customHeight="1" x14ac:dyDescent="0.35">
      <c r="A48" s="637" t="s">
        <v>402</v>
      </c>
      <c r="B48" s="637"/>
      <c r="C48" s="671"/>
      <c r="D48" s="671">
        <f>E48/12</f>
        <v>538.91666666666663</v>
      </c>
      <c r="E48" s="671">
        <f>SUM(E49:E53)</f>
        <v>6467</v>
      </c>
      <c r="F48" s="511">
        <f>SUM(F49:F53)</f>
        <v>4930.2286230344234</v>
      </c>
      <c r="G48" s="509">
        <f>SUM(G49:G53)</f>
        <v>1536.7713769655759</v>
      </c>
      <c r="H48" s="503">
        <f>G48/$G$62</f>
        <v>1.2084962187370546E-2</v>
      </c>
      <c r="I48"/>
      <c r="J48"/>
      <c r="K48"/>
      <c r="L48"/>
      <c r="M48"/>
      <c r="N48"/>
      <c r="O48"/>
      <c r="P48"/>
      <c r="Q48"/>
      <c r="R48"/>
    </row>
    <row r="49" spans="1:18" ht="22" hidden="1" outlineLevel="1" x14ac:dyDescent="0.35">
      <c r="A49" s="636" t="s">
        <v>295</v>
      </c>
      <c r="B49" s="679" t="s">
        <v>497</v>
      </c>
      <c r="C49" s="671"/>
      <c r="D49" s="671">
        <f>E49/12</f>
        <v>47.25</v>
      </c>
      <c r="E49" s="671">
        <f>13.5*6*7</f>
        <v>567</v>
      </c>
      <c r="F49" s="506">
        <f>E49*Eeldused75!$C$38</f>
        <v>432.26219719507009</v>
      </c>
      <c r="G49" s="506">
        <f>E49*Eeldused75!$D$38</f>
        <v>134.73780280492988</v>
      </c>
      <c r="H49" s="503">
        <f>G49/$G$62</f>
        <v>1.0595598515910159E-3</v>
      </c>
      <c r="I49"/>
      <c r="J49"/>
      <c r="K49"/>
      <c r="L49"/>
      <c r="M49"/>
      <c r="N49"/>
      <c r="O49"/>
      <c r="P49"/>
      <c r="Q49"/>
      <c r="R49"/>
    </row>
    <row r="50" spans="1:18" ht="22" hidden="1" outlineLevel="1" x14ac:dyDescent="0.35">
      <c r="A50" s="636" t="s">
        <v>296</v>
      </c>
      <c r="B50" s="679" t="s">
        <v>496</v>
      </c>
      <c r="C50" s="671">
        <v>300</v>
      </c>
      <c r="D50" s="671">
        <f>E50/12</f>
        <v>75</v>
      </c>
      <c r="E50" s="671">
        <f>C50*3</f>
        <v>900</v>
      </c>
      <c r="F50" s="506">
        <f>E50*Eeldused75!$C$38</f>
        <v>686.13047173820644</v>
      </c>
      <c r="G50" s="506">
        <f>E50*Eeldused75!$D$38</f>
        <v>213.86952826179345</v>
      </c>
      <c r="H50" s="503">
        <f>G50/$G$62</f>
        <v>1.6818410342714536E-3</v>
      </c>
      <c r="I50"/>
      <c r="J50"/>
      <c r="K50"/>
      <c r="L50"/>
      <c r="M50"/>
      <c r="N50"/>
      <c r="O50"/>
      <c r="P50"/>
      <c r="Q50"/>
      <c r="R50"/>
    </row>
    <row r="51" spans="1:18" hidden="1" outlineLevel="1" x14ac:dyDescent="0.35">
      <c r="A51" s="636" t="s">
        <v>297</v>
      </c>
      <c r="B51" s="637"/>
      <c r="C51" s="671"/>
      <c r="D51" s="671">
        <f>E51/12</f>
        <v>83.333333333333329</v>
      </c>
      <c r="E51" s="671">
        <v>1000</v>
      </c>
      <c r="F51" s="506">
        <f>E51*Eeldused75!$C$38</f>
        <v>762.36719082022944</v>
      </c>
      <c r="G51" s="506">
        <f>E51*Eeldused75!$D$38</f>
        <v>237.6328091797705</v>
      </c>
      <c r="H51" s="503">
        <f>G51/$G$62</f>
        <v>1.8687122603016151E-3</v>
      </c>
      <c r="I51"/>
      <c r="J51"/>
      <c r="K51" s="489"/>
      <c r="L51"/>
      <c r="M51"/>
      <c r="N51"/>
      <c r="O51"/>
      <c r="P51"/>
      <c r="Q51"/>
      <c r="R51"/>
    </row>
    <row r="52" spans="1:18" hidden="1" outlineLevel="1" x14ac:dyDescent="0.35">
      <c r="A52" s="636" t="s">
        <v>298</v>
      </c>
      <c r="B52" s="637"/>
      <c r="C52" s="671"/>
      <c r="D52" s="671">
        <f>E52/12</f>
        <v>333.33333333333331</v>
      </c>
      <c r="E52" s="671">
        <f>2000*2</f>
        <v>4000</v>
      </c>
      <c r="F52" s="506">
        <f>E52*Eeldused75!$C$38</f>
        <v>3049.4687632809178</v>
      </c>
      <c r="G52" s="506">
        <f>E52*Eeldused75!$D$38</f>
        <v>950.53123671908202</v>
      </c>
      <c r="H52" s="503">
        <f>G52/$G$62</f>
        <v>7.4748490412064605E-3</v>
      </c>
      <c r="I52"/>
      <c r="J52"/>
      <c r="K52"/>
      <c r="L52"/>
      <c r="M52"/>
      <c r="N52"/>
      <c r="O52"/>
      <c r="P52"/>
      <c r="Q52"/>
      <c r="R52"/>
    </row>
    <row r="53" spans="1:18" hidden="1" outlineLevel="1" x14ac:dyDescent="0.35">
      <c r="A53" s="636"/>
      <c r="B53" s="637"/>
      <c r="C53" s="671"/>
      <c r="D53" s="671"/>
      <c r="E53" s="671"/>
      <c r="F53" s="506"/>
      <c r="G53" s="506"/>
      <c r="H53" s="503"/>
      <c r="I53"/>
      <c r="J53"/>
      <c r="K53"/>
      <c r="L53"/>
      <c r="M53"/>
      <c r="N53"/>
      <c r="O53"/>
      <c r="P53"/>
      <c r="Q53"/>
      <c r="R53"/>
    </row>
    <row r="54" spans="1:18" collapsed="1" x14ac:dyDescent="0.35">
      <c r="A54" s="637" t="s">
        <v>403</v>
      </c>
      <c r="B54" s="637"/>
      <c r="C54" s="671"/>
      <c r="D54" s="671">
        <v>400</v>
      </c>
      <c r="E54" s="671">
        <f>D54*12</f>
        <v>4800</v>
      </c>
      <c r="F54" s="506">
        <f>E54*Eeldused75!$C$38</f>
        <v>3659.3625159371013</v>
      </c>
      <c r="G54" s="506">
        <f>E54*Eeldused75!$D$38</f>
        <v>1140.6374840628985</v>
      </c>
      <c r="H54" s="503">
        <f t="shared" ref="H54:H59" si="4">G54/$G$62</f>
        <v>8.9698188494477527E-3</v>
      </c>
      <c r="I54"/>
      <c r="J54"/>
      <c r="K54"/>
      <c r="L54"/>
      <c r="M54"/>
      <c r="N54"/>
      <c r="O54"/>
      <c r="P54"/>
      <c r="Q54"/>
      <c r="R54"/>
    </row>
    <row r="55" spans="1:18" ht="30.75" customHeight="1" x14ac:dyDescent="0.35">
      <c r="A55" s="637" t="s">
        <v>404</v>
      </c>
      <c r="B55" s="637" t="s">
        <v>482</v>
      </c>
      <c r="C55" s="682">
        <v>1E-3</v>
      </c>
      <c r="D55" s="671">
        <f>E55/12</f>
        <v>434.03220833333336</v>
      </c>
      <c r="E55" s="671">
        <f>C55*'1. Projekti elluviimise kulud'!J19</f>
        <v>5208.3865000000005</v>
      </c>
      <c r="F55" s="510"/>
      <c r="G55" s="509">
        <f>E55</f>
        <v>5208.3865000000005</v>
      </c>
      <c r="H55" s="503">
        <f t="shared" si="4"/>
        <v>4.0958046755136285E-2</v>
      </c>
      <c r="I55"/>
      <c r="J55"/>
      <c r="K55"/>
      <c r="L55"/>
      <c r="M55"/>
      <c r="N55"/>
      <c r="O55"/>
      <c r="P55"/>
      <c r="Q55"/>
      <c r="R55"/>
    </row>
    <row r="56" spans="1:18" x14ac:dyDescent="0.35">
      <c r="A56" s="637" t="s">
        <v>405</v>
      </c>
      <c r="B56" s="637"/>
      <c r="C56" s="671"/>
      <c r="D56" s="671">
        <f>E56/12</f>
        <v>355</v>
      </c>
      <c r="E56" s="671">
        <f>SUM(E57:E61)</f>
        <v>4260</v>
      </c>
      <c r="F56" s="512">
        <f>SUM(F57:F61)</f>
        <v>1829.6812579685507</v>
      </c>
      <c r="G56" s="509">
        <f>SUM(G57:G61)</f>
        <v>2430.3187420314493</v>
      </c>
      <c r="H56" s="503">
        <f t="shared" si="4"/>
        <v>1.9111697771662699E-2</v>
      </c>
      <c r="I56"/>
      <c r="J56"/>
      <c r="K56"/>
      <c r="L56"/>
      <c r="M56"/>
      <c r="N56"/>
      <c r="O56"/>
      <c r="P56"/>
      <c r="Q56"/>
      <c r="R56"/>
    </row>
    <row r="57" spans="1:18" ht="29" hidden="1" outlineLevel="1" x14ac:dyDescent="0.35">
      <c r="A57" s="636" t="s">
        <v>299</v>
      </c>
      <c r="B57" s="637"/>
      <c r="C57" s="671"/>
      <c r="D57" s="671">
        <v>55</v>
      </c>
      <c r="E57" s="671">
        <f>D57*12</f>
        <v>660</v>
      </c>
      <c r="F57" s="510"/>
      <c r="G57" s="509">
        <f>E57</f>
        <v>660</v>
      </c>
      <c r="H57" s="503">
        <f t="shared" si="4"/>
        <v>5.1901507037524853E-3</v>
      </c>
      <c r="I57"/>
      <c r="J57"/>
      <c r="K57"/>
      <c r="L57"/>
      <c r="M57"/>
      <c r="N57"/>
      <c r="O57"/>
      <c r="P57"/>
      <c r="Q57"/>
      <c r="R57"/>
    </row>
    <row r="58" spans="1:18" hidden="1" outlineLevel="1" x14ac:dyDescent="0.35">
      <c r="A58" s="636" t="s">
        <v>300</v>
      </c>
      <c r="B58" s="637"/>
      <c r="C58" s="671"/>
      <c r="D58" s="671">
        <v>200</v>
      </c>
      <c r="E58" s="671">
        <f>D58*12</f>
        <v>2400</v>
      </c>
      <c r="F58" s="506">
        <f>E58*Eeldused75!$C$38</f>
        <v>1829.6812579685507</v>
      </c>
      <c r="G58" s="506">
        <f>E58*Eeldused75!$D$38</f>
        <v>570.31874203144923</v>
      </c>
      <c r="H58" s="503">
        <f t="shared" si="4"/>
        <v>4.4849094247238763E-3</v>
      </c>
      <c r="I58"/>
      <c r="J58"/>
      <c r="K58"/>
      <c r="L58"/>
      <c r="M58"/>
      <c r="N58"/>
      <c r="O58"/>
      <c r="P58"/>
      <c r="Q58"/>
      <c r="R58"/>
    </row>
    <row r="59" spans="1:18" hidden="1" outlineLevel="1" x14ac:dyDescent="0.35">
      <c r="A59" s="636" t="s">
        <v>283</v>
      </c>
      <c r="B59" s="637"/>
      <c r="C59" s="671"/>
      <c r="D59" s="671">
        <v>100</v>
      </c>
      <c r="E59" s="671">
        <f>D59*12</f>
        <v>1200</v>
      </c>
      <c r="F59" s="506"/>
      <c r="G59" s="507">
        <f>E59</f>
        <v>1200</v>
      </c>
      <c r="H59" s="503">
        <f t="shared" si="4"/>
        <v>9.436637643186337E-3</v>
      </c>
      <c r="I59"/>
      <c r="J59"/>
      <c r="K59"/>
      <c r="L59"/>
      <c r="M59"/>
      <c r="N59"/>
      <c r="O59"/>
      <c r="P59"/>
      <c r="Q59"/>
      <c r="R59"/>
    </row>
    <row r="60" spans="1:18" hidden="1" outlineLevel="1" x14ac:dyDescent="0.35">
      <c r="A60" s="636"/>
      <c r="B60" s="637"/>
      <c r="C60" s="671"/>
      <c r="D60" s="671"/>
      <c r="E60" s="671"/>
      <c r="F60" s="507"/>
      <c r="G60" s="507"/>
      <c r="H60" s="487">
        <f>G60/$G$71</f>
        <v>0</v>
      </c>
      <c r="I60"/>
      <c r="J60"/>
      <c r="K60"/>
      <c r="L60"/>
      <c r="M60"/>
      <c r="N60"/>
      <c r="O60"/>
      <c r="P60"/>
      <c r="Q60"/>
      <c r="R60"/>
    </row>
    <row r="61" spans="1:18" collapsed="1" x14ac:dyDescent="0.35">
      <c r="A61" s="636"/>
      <c r="B61" s="637"/>
      <c r="C61" s="671"/>
      <c r="D61" s="671"/>
      <c r="E61" s="671"/>
      <c r="F61" s="507"/>
      <c r="G61" s="507"/>
      <c r="H61" s="487"/>
      <c r="I61"/>
      <c r="J61"/>
      <c r="K61"/>
      <c r="L61"/>
      <c r="M61"/>
      <c r="N61"/>
      <c r="O61"/>
      <c r="P61"/>
      <c r="Q61"/>
      <c r="R61"/>
    </row>
    <row r="62" spans="1:18" x14ac:dyDescent="0.35">
      <c r="A62" s="683" t="s">
        <v>349</v>
      </c>
      <c r="B62" s="637"/>
      <c r="C62" s="671"/>
      <c r="D62" s="684">
        <f>E62/12</f>
        <v>12604.499035466666</v>
      </c>
      <c r="E62" s="684">
        <f>E4+E25+E29+E31+E56+E36+E43+E48+E54+E55</f>
        <v>151253.98842559999</v>
      </c>
      <c r="F62" s="513">
        <f>F4+F25+F29+F31+F56+F36+F43+F48+F54+F55</f>
        <v>24090.050869255228</v>
      </c>
      <c r="G62" s="513">
        <f>G4+G25+G29+G31+G56+G36+G43+G48+G54+G55</f>
        <v>127163.93755634478</v>
      </c>
      <c r="H62" s="503"/>
      <c r="I62"/>
      <c r="J62"/>
      <c r="K62" s="494"/>
      <c r="L62"/>
      <c r="M62"/>
      <c r="N62"/>
      <c r="O62"/>
      <c r="P62"/>
      <c r="Q62"/>
      <c r="R62"/>
    </row>
    <row r="63" spans="1:18" x14ac:dyDescent="0.35">
      <c r="A63" s="683"/>
      <c r="B63" s="637"/>
      <c r="C63" s="671"/>
      <c r="D63" s="671"/>
      <c r="E63" s="684"/>
      <c r="F63" s="507"/>
      <c r="G63" s="507"/>
      <c r="H63" s="503"/>
      <c r="I63"/>
      <c r="J63"/>
      <c r="K63"/>
      <c r="L63"/>
      <c r="M63"/>
      <c r="N63"/>
      <c r="O63"/>
      <c r="P63"/>
      <c r="Q63"/>
      <c r="R63"/>
    </row>
    <row r="64" spans="1:18" x14ac:dyDescent="0.35">
      <c r="A64" s="670" t="s">
        <v>406</v>
      </c>
      <c r="B64" s="637"/>
      <c r="C64" s="671"/>
      <c r="D64" s="600"/>
      <c r="E64" s="600"/>
      <c r="F64" s="485"/>
      <c r="G64" s="509"/>
      <c r="H64" s="503"/>
      <c r="I64"/>
      <c r="J64"/>
      <c r="K64"/>
      <c r="L64"/>
      <c r="M64"/>
      <c r="N64"/>
      <c r="O64"/>
      <c r="P64"/>
      <c r="Q64"/>
      <c r="R64"/>
    </row>
    <row r="65" spans="1:18" x14ac:dyDescent="0.35">
      <c r="A65" s="636" t="s">
        <v>327</v>
      </c>
      <c r="B65" s="637"/>
      <c r="C65" s="685"/>
      <c r="D65" s="671">
        <f>E65/12</f>
        <v>14343.331666666667</v>
      </c>
      <c r="E65" s="671">
        <f>('1. Projekti elluviimise kulud'!J8+'1. Projekti elluviimise kulud'!J10+'1. Projekti elluviimise kulud'!J6)/'1. Projekti elluviimise kulud'!L8</f>
        <v>172119.98</v>
      </c>
      <c r="F65" s="485"/>
      <c r="G65" s="509">
        <f>E65</f>
        <v>172119.98</v>
      </c>
      <c r="H65" s="503"/>
      <c r="I65"/>
      <c r="J65"/>
      <c r="K65"/>
      <c r="L65"/>
      <c r="M65"/>
      <c r="N65"/>
      <c r="O65"/>
      <c r="P65"/>
      <c r="Q65"/>
      <c r="R65"/>
    </row>
    <row r="66" spans="1:18" x14ac:dyDescent="0.35">
      <c r="A66" s="636" t="s">
        <v>328</v>
      </c>
      <c r="B66" s="637"/>
      <c r="C66" s="685"/>
      <c r="D66" s="671">
        <f>E66/12</f>
        <v>5790.9423076923076</v>
      </c>
      <c r="E66" s="671">
        <f>'1. Projekti elluviimise kulud'!J9/'1. Projekti elluviimise kulud'!L9</f>
        <v>69491.307692307688</v>
      </c>
      <c r="F66" s="485"/>
      <c r="G66" s="509">
        <f>E66</f>
        <v>69491.307692307688</v>
      </c>
      <c r="H66" s="503"/>
      <c r="I66"/>
      <c r="J66"/>
      <c r="K66"/>
      <c r="L66"/>
      <c r="M66"/>
      <c r="N66"/>
      <c r="O66"/>
      <c r="P66"/>
      <c r="Q66"/>
      <c r="R66"/>
    </row>
    <row r="67" spans="1:18" ht="30.75" hidden="1" customHeight="1" x14ac:dyDescent="0.35">
      <c r="A67" s="636"/>
      <c r="B67" s="637"/>
      <c r="C67" s="685"/>
      <c r="D67" s="671"/>
      <c r="E67" s="671"/>
      <c r="F67" s="485"/>
      <c r="G67" s="509">
        <f>E67</f>
        <v>0</v>
      </c>
      <c r="H67" s="503"/>
      <c r="I67"/>
      <c r="J67"/>
      <c r="K67"/>
      <c r="L67"/>
      <c r="M67"/>
      <c r="N67"/>
      <c r="O67"/>
      <c r="P67"/>
      <c r="Q67"/>
      <c r="R67"/>
    </row>
    <row r="68" spans="1:18" ht="31.5" hidden="1" customHeight="1" x14ac:dyDescent="0.35">
      <c r="A68" s="636"/>
      <c r="B68" s="637"/>
      <c r="C68" s="685"/>
      <c r="D68" s="671"/>
      <c r="E68" s="671"/>
      <c r="F68" s="485"/>
      <c r="G68" s="509">
        <f>E68</f>
        <v>0</v>
      </c>
      <c r="H68" s="503"/>
      <c r="I68"/>
      <c r="J68"/>
      <c r="K68"/>
      <c r="L68"/>
      <c r="M68"/>
      <c r="N68"/>
      <c r="O68"/>
      <c r="P68"/>
      <c r="Q68"/>
      <c r="R68"/>
    </row>
    <row r="69" spans="1:18" x14ac:dyDescent="0.35">
      <c r="A69" s="683" t="s">
        <v>483</v>
      </c>
      <c r="B69" s="597"/>
      <c r="C69" s="612"/>
      <c r="D69" s="684">
        <f>SUM(D65:D68)</f>
        <v>20134.273974358974</v>
      </c>
      <c r="E69" s="684">
        <f>SUM(E65:E68)</f>
        <v>241611.2876923077</v>
      </c>
      <c r="F69" s="513">
        <f>SUM(F65:F68)</f>
        <v>0</v>
      </c>
      <c r="G69" s="513">
        <f>SUM(G65:G68)</f>
        <v>241611.2876923077</v>
      </c>
      <c r="H69"/>
      <c r="I69"/>
      <c r="J69"/>
      <c r="K69"/>
      <c r="L69"/>
      <c r="M69"/>
      <c r="N69"/>
      <c r="O69"/>
      <c r="P69"/>
      <c r="Q69"/>
      <c r="R69"/>
    </row>
    <row r="70" spans="1:18" x14ac:dyDescent="0.35">
      <c r="A70" s="683"/>
      <c r="B70" s="597"/>
      <c r="C70" s="612"/>
      <c r="D70" s="671"/>
      <c r="E70" s="671"/>
      <c r="F70" s="485"/>
      <c r="G70" s="485"/>
      <c r="H70"/>
      <c r="I70"/>
      <c r="J70"/>
      <c r="K70"/>
      <c r="L70"/>
      <c r="M70"/>
      <c r="N70"/>
      <c r="O70"/>
      <c r="P70"/>
      <c r="Q70"/>
      <c r="R70"/>
    </row>
    <row r="71" spans="1:18" x14ac:dyDescent="0.35">
      <c r="A71" s="669" t="s">
        <v>65</v>
      </c>
      <c r="B71" s="663"/>
      <c r="C71" s="663"/>
      <c r="D71" s="664">
        <f>E71/12</f>
        <v>32738.773009825643</v>
      </c>
      <c r="E71" s="664">
        <f>E62+E69</f>
        <v>392865.27611790772</v>
      </c>
      <c r="F71" s="497">
        <f>F62+F69</f>
        <v>24090.050869255228</v>
      </c>
      <c r="G71" s="497">
        <f>G62+G69</f>
        <v>368775.22524865251</v>
      </c>
      <c r="H71"/>
      <c r="I71"/>
      <c r="J71"/>
      <c r="K71"/>
      <c r="L71"/>
      <c r="M71"/>
      <c r="N71"/>
      <c r="O71"/>
      <c r="P71"/>
      <c r="Q71"/>
      <c r="R71"/>
    </row>
    <row r="72" spans="1:18" x14ac:dyDescent="0.35">
      <c r="A72" s="514"/>
      <c r="B72" s="515"/>
      <c r="C72" s="515"/>
      <c r="D72" s="516"/>
      <c r="E72" s="516"/>
      <c r="F72" s="516"/>
      <c r="G72" s="516"/>
      <c r="H72"/>
      <c r="I72"/>
      <c r="J72"/>
      <c r="K72"/>
      <c r="L72"/>
      <c r="M72"/>
      <c r="N72"/>
      <c r="O72"/>
      <c r="P72"/>
      <c r="Q72"/>
      <c r="R72"/>
    </row>
    <row r="73" spans="1:18" x14ac:dyDescent="0.35">
      <c r="A73" s="710"/>
      <c r="B73" s="711"/>
      <c r="C73" s="711"/>
      <c r="D73" s="712"/>
      <c r="E73" s="712"/>
      <c r="F73" s="712"/>
      <c r="G73" s="712"/>
    </row>
    <row r="74" spans="1:18" x14ac:dyDescent="0.35">
      <c r="E74" s="713"/>
      <c r="G74" s="713"/>
    </row>
    <row r="75" spans="1:18" x14ac:dyDescent="0.35">
      <c r="E75" s="714"/>
      <c r="G75" s="714"/>
    </row>
    <row r="77" spans="1:18" x14ac:dyDescent="0.35">
      <c r="E77" s="715"/>
    </row>
  </sheetData>
  <conditionalFormatting sqref="H2:H73">
    <cfRule type="cellIs" dxfId="1" priority="1" operator="equal">
      <formula>0</formula>
    </cfRule>
  </conditionalFormatting>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52"/>
  <sheetViews>
    <sheetView topLeftCell="A21" workbookViewId="0">
      <selection activeCell="F21" sqref="F21"/>
    </sheetView>
  </sheetViews>
  <sheetFormatPr defaultColWidth="9.1796875" defaultRowHeight="14.5" outlineLevelCol="1" x14ac:dyDescent="0.35"/>
  <cols>
    <col min="1" max="1" width="33.453125" style="708" customWidth="1"/>
    <col min="2" max="2" width="17.36328125" style="708" customWidth="1"/>
    <col min="3" max="3" width="15.453125" style="708" customWidth="1"/>
    <col min="4" max="4" width="20" style="708" customWidth="1"/>
    <col min="5" max="5" width="10.453125" style="708" customWidth="1"/>
    <col min="6" max="6" width="15.453125" style="708" customWidth="1"/>
    <col min="7" max="7" width="12.36328125" style="708" customWidth="1"/>
    <col min="8" max="8" width="12.453125" style="708" customWidth="1"/>
    <col min="9" max="9" width="11.6328125" style="708" customWidth="1"/>
    <col min="10" max="10" width="11.6328125" style="708" hidden="1" customWidth="1"/>
    <col min="11" max="11" width="9.1796875" style="708" hidden="1" customWidth="1"/>
    <col min="12" max="12" width="9.1796875" style="708" customWidth="1"/>
    <col min="13" max="13" width="10.453125" style="708" hidden="1" customWidth="1" outlineLevel="1"/>
    <col min="14" max="15" width="9.1796875" style="708" hidden="1" customWidth="1" outlineLevel="1"/>
    <col min="16" max="19" width="0" style="708" hidden="1" customWidth="1" outlineLevel="1"/>
    <col min="20" max="20" width="9.1796875" style="708" collapsed="1"/>
    <col min="21" max="16384" width="9.1796875" style="708"/>
  </cols>
  <sheetData>
    <row r="1" spans="1:19" x14ac:dyDescent="0.35">
      <c r="A1" s="632" t="s">
        <v>32</v>
      </c>
      <c r="B1" s="600"/>
      <c r="C1" s="600"/>
      <c r="D1" s="600"/>
      <c r="E1" s="652"/>
      <c r="F1" s="600"/>
      <c r="G1" s="652"/>
      <c r="H1" s="652"/>
      <c r="I1" s="602"/>
      <c r="J1"/>
      <c r="K1"/>
      <c r="L1"/>
      <c r="M1"/>
      <c r="N1"/>
      <c r="O1"/>
      <c r="P1"/>
      <c r="Q1"/>
    </row>
    <row r="2" spans="1:19" x14ac:dyDescent="0.35">
      <c r="A2" s="600"/>
      <c r="B2" s="600"/>
      <c r="C2" s="600"/>
      <c r="D2" s="600"/>
      <c r="E2" s="600"/>
      <c r="F2" s="600"/>
      <c r="G2" s="600"/>
      <c r="H2" s="600"/>
      <c r="I2" s="600"/>
      <c r="J2"/>
      <c r="K2"/>
      <c r="L2"/>
      <c r="M2"/>
      <c r="N2"/>
      <c r="O2"/>
      <c r="P2"/>
      <c r="Q2"/>
    </row>
    <row r="3" spans="1:19" x14ac:dyDescent="0.35">
      <c r="A3" s="632" t="s">
        <v>393</v>
      </c>
      <c r="B3" s="600"/>
      <c r="C3" s="600"/>
      <c r="D3" s="600"/>
      <c r="E3" s="600"/>
      <c r="F3" s="600"/>
      <c r="G3" s="600"/>
      <c r="H3" s="600"/>
      <c r="I3" s="600"/>
      <c r="J3"/>
      <c r="K3"/>
      <c r="L3"/>
      <c r="M3"/>
      <c r="N3"/>
      <c r="O3"/>
      <c r="P3"/>
      <c r="Q3"/>
    </row>
    <row r="4" spans="1:19" x14ac:dyDescent="0.35">
      <c r="A4" s="600"/>
      <c r="B4" s="600"/>
      <c r="C4" s="600"/>
      <c r="D4" s="600"/>
      <c r="E4" s="600"/>
      <c r="F4" s="600"/>
      <c r="G4" s="600"/>
      <c r="H4" s="600"/>
      <c r="I4" s="600"/>
      <c r="J4"/>
      <c r="K4"/>
      <c r="L4"/>
      <c r="M4"/>
      <c r="N4"/>
      <c r="O4"/>
      <c r="P4"/>
      <c r="Q4"/>
    </row>
    <row r="5" spans="1:19" ht="30" customHeight="1" x14ac:dyDescent="0.35">
      <c r="A5" s="653" t="s">
        <v>280</v>
      </c>
      <c r="B5" s="653" t="s">
        <v>453</v>
      </c>
      <c r="C5" s="653" t="s">
        <v>454</v>
      </c>
      <c r="D5" s="653" t="s">
        <v>466</v>
      </c>
      <c r="E5" s="653" t="s">
        <v>0</v>
      </c>
      <c r="F5" s="654" t="s">
        <v>467</v>
      </c>
      <c r="G5" s="653" t="s">
        <v>468</v>
      </c>
      <c r="H5" s="653" t="s">
        <v>469</v>
      </c>
      <c r="I5" s="653" t="s">
        <v>470</v>
      </c>
      <c r="J5"/>
      <c r="K5"/>
      <c r="L5"/>
      <c r="M5" s="721" t="s">
        <v>506</v>
      </c>
      <c r="N5" s="721" t="s">
        <v>507</v>
      </c>
      <c r="O5" s="721" t="s">
        <v>508</v>
      </c>
      <c r="P5"/>
      <c r="Q5"/>
    </row>
    <row r="6" spans="1:19" x14ac:dyDescent="0.35">
      <c r="A6" s="655" t="s">
        <v>278</v>
      </c>
      <c r="B6" s="597"/>
      <c r="C6" s="597"/>
      <c r="D6" s="597"/>
      <c r="E6" s="597"/>
      <c r="F6" s="597"/>
      <c r="G6" s="597"/>
      <c r="H6" s="597"/>
      <c r="I6" s="597"/>
      <c r="J6"/>
      <c r="K6"/>
      <c r="L6"/>
      <c r="M6" s="485"/>
      <c r="N6" s="485"/>
      <c r="O6" s="485"/>
      <c r="P6"/>
      <c r="Q6"/>
    </row>
    <row r="7" spans="1:19" x14ac:dyDescent="0.35">
      <c r="A7" s="626" t="str">
        <f>Ruumid!A5</f>
        <v>1 korrus</v>
      </c>
      <c r="B7" s="628">
        <f>Ruumid!C5</f>
        <v>292.5</v>
      </c>
      <c r="C7" s="628">
        <f>Ruumid!D5</f>
        <v>292.5</v>
      </c>
      <c r="D7" s="656"/>
      <c r="E7" s="656"/>
      <c r="F7" s="656"/>
      <c r="G7" s="657"/>
      <c r="H7" s="657"/>
      <c r="I7" s="657"/>
      <c r="J7"/>
      <c r="K7"/>
      <c r="L7"/>
      <c r="M7" s="485"/>
      <c r="N7" s="485"/>
      <c r="O7" s="485"/>
      <c r="P7"/>
      <c r="Q7"/>
    </row>
    <row r="8" spans="1:19" x14ac:dyDescent="0.35">
      <c r="A8" s="597" t="str">
        <f>Ruumid!A6</f>
        <v>Kohvik</v>
      </c>
      <c r="B8" s="597">
        <f>Ruumid!C6</f>
        <v>132.5</v>
      </c>
      <c r="C8" s="597">
        <f>Ruumid!D6</f>
        <v>132.5</v>
      </c>
      <c r="D8" s="642" t="s">
        <v>471</v>
      </c>
      <c r="E8" s="597">
        <v>5</v>
      </c>
      <c r="F8" s="658">
        <v>1</v>
      </c>
      <c r="G8" s="612">
        <f>C8*E8*F8</f>
        <v>662.5</v>
      </c>
      <c r="H8" s="612">
        <f>G8*12</f>
        <v>7950</v>
      </c>
      <c r="I8" s="613">
        <f>H8/$H$33</f>
        <v>4.9139684653027461E-2</v>
      </c>
      <c r="J8"/>
      <c r="K8" t="s">
        <v>268</v>
      </c>
      <c r="L8"/>
      <c r="M8" s="485">
        <f>B8</f>
        <v>132.5</v>
      </c>
      <c r="N8" s="485">
        <f>B8*F8</f>
        <v>132.5</v>
      </c>
      <c r="O8" s="485">
        <f>M8-N8</f>
        <v>0</v>
      </c>
      <c r="P8"/>
      <c r="Q8"/>
    </row>
    <row r="9" spans="1:19" hidden="1" x14ac:dyDescent="0.35">
      <c r="A9" s="597" t="str">
        <f>Ruumid!A7</f>
        <v>Seminariruumid</v>
      </c>
      <c r="B9" s="597">
        <f>Ruumid!C7</f>
        <v>72.7</v>
      </c>
      <c r="C9" s="597">
        <f>Ruumid!D7</f>
        <v>72.7</v>
      </c>
      <c r="D9" s="642" t="s">
        <v>281</v>
      </c>
      <c r="E9" s="597">
        <v>240</v>
      </c>
      <c r="F9" s="707"/>
      <c r="G9" s="612">
        <f>21*E9*F9</f>
        <v>0</v>
      </c>
      <c r="H9" s="612">
        <f>G9*12</f>
        <v>0</v>
      </c>
      <c r="I9" s="613">
        <f>H9/$H$33</f>
        <v>0</v>
      </c>
      <c r="J9"/>
      <c r="K9" t="s">
        <v>270</v>
      </c>
      <c r="L9"/>
      <c r="M9" s="485">
        <f>B9</f>
        <v>72.7</v>
      </c>
      <c r="N9" s="485">
        <f>B9*F9</f>
        <v>0</v>
      </c>
      <c r="O9" s="485">
        <f>M9-N9</f>
        <v>72.7</v>
      </c>
      <c r="P9"/>
      <c r="Q9"/>
    </row>
    <row r="10" spans="1:19" x14ac:dyDescent="0.35">
      <c r="A10" s="626" t="str">
        <f>Ruumid!A10</f>
        <v>2 korrus</v>
      </c>
      <c r="B10" s="628">
        <f>Ruumid!C10</f>
        <v>300.2</v>
      </c>
      <c r="C10" s="628">
        <f>Ruumid!D10</f>
        <v>300.2</v>
      </c>
      <c r="D10" s="656"/>
      <c r="E10" s="656"/>
      <c r="F10" s="656"/>
      <c r="G10" s="657"/>
      <c r="H10" s="657"/>
      <c r="I10" s="657"/>
      <c r="J10"/>
      <c r="K10"/>
      <c r="L10"/>
      <c r="M10" s="485"/>
      <c r="N10" s="485"/>
      <c r="O10" s="485"/>
      <c r="P10"/>
      <c r="Q10"/>
    </row>
    <row r="11" spans="1:19" x14ac:dyDescent="0.35">
      <c r="A11" s="597" t="str">
        <f>Ruumid!A11</f>
        <v>Üüriruumid</v>
      </c>
      <c r="B11" s="597">
        <f>Ruumid!C11</f>
        <v>273.39999999999998</v>
      </c>
      <c r="C11" s="597">
        <f>Ruumid!D11</f>
        <v>273.39999999999998</v>
      </c>
      <c r="D11" s="642" t="s">
        <v>471</v>
      </c>
      <c r="E11" s="597">
        <v>7</v>
      </c>
      <c r="F11" s="658">
        <v>1</v>
      </c>
      <c r="G11" s="612">
        <f>C11*E11*F11</f>
        <v>1913.7999999999997</v>
      </c>
      <c r="H11" s="612">
        <f>G11*12</f>
        <v>22965.599999999999</v>
      </c>
      <c r="I11" s="613">
        <f>H11/$H$33</f>
        <v>0.14195249583239841</v>
      </c>
      <c r="J11"/>
      <c r="K11" t="s">
        <v>268</v>
      </c>
      <c r="L11"/>
      <c r="M11" s="485">
        <f>B11</f>
        <v>273.39999999999998</v>
      </c>
      <c r="N11" s="485">
        <f>B11*F11</f>
        <v>273.39999999999998</v>
      </c>
      <c r="O11" s="485">
        <f>M11-N11</f>
        <v>0</v>
      </c>
      <c r="P11"/>
      <c r="Q11"/>
    </row>
    <row r="12" spans="1:19" x14ac:dyDescent="0.35">
      <c r="A12" s="626" t="str">
        <f>Ruumid!A14</f>
        <v>3 korrus</v>
      </c>
      <c r="B12" s="626">
        <f>Ruumid!C14</f>
        <v>304.20000000000005</v>
      </c>
      <c r="C12" s="628">
        <f>Ruumid!D14</f>
        <v>304.2</v>
      </c>
      <c r="D12" s="656"/>
      <c r="E12" s="656"/>
      <c r="F12" s="656"/>
      <c r="G12" s="657"/>
      <c r="H12" s="657"/>
      <c r="I12" s="657"/>
      <c r="J12"/>
      <c r="K12"/>
      <c r="L12"/>
      <c r="M12" s="485"/>
      <c r="N12" s="485"/>
      <c r="O12" s="485"/>
      <c r="P12"/>
      <c r="Q12"/>
    </row>
    <row r="13" spans="1:19" x14ac:dyDescent="0.35">
      <c r="A13" s="597" t="str">
        <f>Ruumid!A15</f>
        <v>Üürikabinetid</v>
      </c>
      <c r="B13" s="597">
        <f>Ruumid!C15</f>
        <v>105.6</v>
      </c>
      <c r="C13" s="597">
        <f>Ruumid!D15</f>
        <v>105.6</v>
      </c>
      <c r="D13" s="642" t="s">
        <v>471</v>
      </c>
      <c r="E13" s="597">
        <v>15</v>
      </c>
      <c r="F13" s="658">
        <v>0.75</v>
      </c>
      <c r="G13" s="612">
        <f>C13*E13*F13</f>
        <v>1188</v>
      </c>
      <c r="H13" s="612">
        <f t="shared" ref="H13:H14" si="0">G13*12</f>
        <v>14256</v>
      </c>
      <c r="I13" s="613">
        <f t="shared" ref="I13:I14" si="1">H13/$H$33</f>
        <v>8.8117653385353406E-2</v>
      </c>
      <c r="J13"/>
      <c r="K13" t="s">
        <v>270</v>
      </c>
      <c r="L13"/>
      <c r="M13" s="485">
        <f t="shared" ref="M13:M14" si="2">B13</f>
        <v>105.6</v>
      </c>
      <c r="N13" s="485">
        <f t="shared" ref="N13:N14" si="3">B13*F13</f>
        <v>79.199999999999989</v>
      </c>
      <c r="O13" s="485">
        <f t="shared" ref="O13:O14" si="4">M13-N13</f>
        <v>26.400000000000006</v>
      </c>
      <c r="P13"/>
      <c r="Q13"/>
    </row>
    <row r="14" spans="1:19" x14ac:dyDescent="0.35">
      <c r="A14" s="597" t="str">
        <f>Ruumid!A18</f>
        <v>Open Office (12 kohta)</v>
      </c>
      <c r="B14" s="597">
        <f>Ruumid!C18</f>
        <v>35.6</v>
      </c>
      <c r="C14" s="597">
        <f>Ruumid!D18</f>
        <v>35.6</v>
      </c>
      <c r="D14" s="597" t="s">
        <v>472</v>
      </c>
      <c r="E14" s="597">
        <v>15</v>
      </c>
      <c r="F14" s="658">
        <v>0.75</v>
      </c>
      <c r="G14" s="612">
        <f>21*E14*F14*12</f>
        <v>2835</v>
      </c>
      <c r="H14" s="612">
        <f t="shared" si="0"/>
        <v>34020</v>
      </c>
      <c r="I14" s="613">
        <f t="shared" si="1"/>
        <v>0.21028076376050242</v>
      </c>
      <c r="J14"/>
      <c r="K14" t="s">
        <v>270</v>
      </c>
      <c r="L14"/>
      <c r="M14" s="485">
        <f t="shared" si="2"/>
        <v>35.6</v>
      </c>
      <c r="N14" s="485">
        <f t="shared" si="3"/>
        <v>26.700000000000003</v>
      </c>
      <c r="O14" s="485">
        <f t="shared" si="4"/>
        <v>8.8999999999999986</v>
      </c>
      <c r="P14"/>
      <c r="Q14">
        <v>12</v>
      </c>
      <c r="R14" s="708">
        <f>Q14*F14</f>
        <v>9</v>
      </c>
      <c r="S14" s="708">
        <f>Q14-R14</f>
        <v>3</v>
      </c>
    </row>
    <row r="15" spans="1:19" x14ac:dyDescent="0.35">
      <c r="A15" s="626" t="str">
        <f>Ruumid!A19</f>
        <v>4 korrus</v>
      </c>
      <c r="B15" s="628">
        <f>Ruumid!C19</f>
        <v>307.8</v>
      </c>
      <c r="C15" s="628">
        <f>Ruumid!D19</f>
        <v>307.8</v>
      </c>
      <c r="D15" s="656"/>
      <c r="E15" s="656"/>
      <c r="F15" s="656"/>
      <c r="G15" s="657"/>
      <c r="H15" s="657"/>
      <c r="I15" s="657"/>
      <c r="J15"/>
      <c r="K15"/>
      <c r="L15"/>
      <c r="M15" s="485"/>
      <c r="N15" s="485"/>
      <c r="O15" s="485"/>
      <c r="P15"/>
      <c r="Q15"/>
    </row>
    <row r="16" spans="1:19" x14ac:dyDescent="0.35">
      <c r="A16" s="597" t="str">
        <f>Ruumid!A20</f>
        <v>Üüriruumid</v>
      </c>
      <c r="B16" s="597">
        <f>Ruumid!C20</f>
        <v>265.60000000000002</v>
      </c>
      <c r="C16" s="597">
        <f>Ruumid!D20</f>
        <v>265.60000000000002</v>
      </c>
      <c r="D16" s="642" t="s">
        <v>471</v>
      </c>
      <c r="E16" s="597">
        <v>7</v>
      </c>
      <c r="F16" s="658">
        <v>1</v>
      </c>
      <c r="G16" s="612">
        <f t="shared" ref="G16:G20" si="5">C16*E16*F16</f>
        <v>1859.2000000000003</v>
      </c>
      <c r="H16" s="612">
        <f t="shared" ref="H16:H17" si="6">G16*12</f>
        <v>22310.400000000001</v>
      </c>
      <c r="I16" s="613">
        <f t="shared" ref="I16:I17" si="7">H16/$H$33</f>
        <v>0.13790264408589989</v>
      </c>
      <c r="J16"/>
      <c r="K16" t="s">
        <v>268</v>
      </c>
      <c r="L16"/>
      <c r="M16" s="485">
        <f t="shared" ref="M16:M17" si="8">B16</f>
        <v>265.60000000000002</v>
      </c>
      <c r="N16" s="485">
        <f>B16*F16</f>
        <v>265.60000000000002</v>
      </c>
      <c r="O16" s="485">
        <f t="shared" ref="O16:O17" si="9">M16-N16</f>
        <v>0</v>
      </c>
      <c r="P16"/>
      <c r="Q16"/>
    </row>
    <row r="17" spans="1:17" x14ac:dyDescent="0.35">
      <c r="A17" s="597" t="str">
        <f>Ruumid!A21</f>
        <v>Üürikabinet</v>
      </c>
      <c r="B17" s="597">
        <f>Ruumid!C21</f>
        <v>15.8</v>
      </c>
      <c r="C17" s="597">
        <f>Ruumid!D21</f>
        <v>15.8</v>
      </c>
      <c r="D17" s="642" t="s">
        <v>471</v>
      </c>
      <c r="E17" s="597">
        <v>7</v>
      </c>
      <c r="F17" s="658">
        <v>1</v>
      </c>
      <c r="G17" s="612">
        <f t="shared" si="5"/>
        <v>110.60000000000001</v>
      </c>
      <c r="H17" s="612">
        <f t="shared" si="6"/>
        <v>1327.2</v>
      </c>
      <c r="I17" s="613">
        <f t="shared" si="7"/>
        <v>8.2035458454714529E-3</v>
      </c>
      <c r="J17"/>
      <c r="K17" t="s">
        <v>268</v>
      </c>
      <c r="L17"/>
      <c r="M17" s="485">
        <f t="shared" si="8"/>
        <v>15.8</v>
      </c>
      <c r="N17" s="485">
        <f>B17*F17</f>
        <v>15.8</v>
      </c>
      <c r="O17" s="485">
        <f t="shared" si="9"/>
        <v>0</v>
      </c>
      <c r="P17"/>
      <c r="Q17"/>
    </row>
    <row r="18" spans="1:17" x14ac:dyDescent="0.35">
      <c r="A18" s="626" t="str">
        <f>Ruumid!A24</f>
        <v>5 korrus</v>
      </c>
      <c r="B18" s="628">
        <f>Ruumid!C24</f>
        <v>301.7</v>
      </c>
      <c r="C18" s="628">
        <f>Ruumid!D24</f>
        <v>301.7</v>
      </c>
      <c r="D18" s="656"/>
      <c r="E18" s="656"/>
      <c r="F18" s="656"/>
      <c r="G18" s="657"/>
      <c r="H18" s="657"/>
      <c r="I18" s="657"/>
      <c r="J18"/>
      <c r="K18"/>
      <c r="L18"/>
      <c r="M18" s="485"/>
      <c r="N18" s="485"/>
      <c r="O18" s="485"/>
      <c r="P18"/>
      <c r="Q18"/>
    </row>
    <row r="19" spans="1:17" x14ac:dyDescent="0.35">
      <c r="A19" s="597" t="str">
        <f>Ruumid!A25</f>
        <v>Üürituba</v>
      </c>
      <c r="B19" s="597">
        <f>Ruumid!C25</f>
        <v>111.9</v>
      </c>
      <c r="C19" s="597">
        <f>Ruumid!D25</f>
        <v>111.9</v>
      </c>
      <c r="D19" s="642" t="s">
        <v>471</v>
      </c>
      <c r="E19" s="597">
        <v>55</v>
      </c>
      <c r="F19" s="659">
        <v>0.75</v>
      </c>
      <c r="G19" s="612">
        <f t="shared" si="5"/>
        <v>4615.875</v>
      </c>
      <c r="H19" s="612">
        <f>G19*12</f>
        <v>55390.5</v>
      </c>
      <c r="I19" s="613">
        <f t="shared" ref="I19:I20" si="10">H19/$H$33</f>
        <v>0.34237379909100851</v>
      </c>
      <c r="J19" s="489"/>
      <c r="K19" t="s">
        <v>268</v>
      </c>
      <c r="L19"/>
      <c r="M19" s="485">
        <f t="shared" ref="M19:M20" si="11">B19</f>
        <v>111.9</v>
      </c>
      <c r="N19" s="485">
        <f>B19*F19</f>
        <v>83.925000000000011</v>
      </c>
      <c r="O19" s="485">
        <f t="shared" ref="O19:O20" si="12">M19-N19</f>
        <v>27.974999999999994</v>
      </c>
      <c r="P19"/>
      <c r="Q19"/>
    </row>
    <row r="20" spans="1:17" x14ac:dyDescent="0.35">
      <c r="A20" s="597" t="str">
        <f>Ruumid!A27</f>
        <v>Üüriruumid</v>
      </c>
      <c r="B20" s="597">
        <f>Ruumid!C27</f>
        <v>26.4</v>
      </c>
      <c r="C20" s="597">
        <f>Ruumid!D27</f>
        <v>26.4</v>
      </c>
      <c r="D20" s="642" t="s">
        <v>471</v>
      </c>
      <c r="E20" s="597">
        <v>15</v>
      </c>
      <c r="F20" s="659">
        <v>0.75</v>
      </c>
      <c r="G20" s="612">
        <f t="shared" si="5"/>
        <v>297</v>
      </c>
      <c r="H20" s="612">
        <f>G20*12</f>
        <v>3564</v>
      </c>
      <c r="I20" s="613">
        <f t="shared" si="10"/>
        <v>2.2029413346338352E-2</v>
      </c>
      <c r="J20"/>
      <c r="K20" t="s">
        <v>268</v>
      </c>
      <c r="L20"/>
      <c r="M20" s="485">
        <f t="shared" si="11"/>
        <v>26.4</v>
      </c>
      <c r="N20" s="485">
        <f>B20*F20</f>
        <v>19.799999999999997</v>
      </c>
      <c r="O20" s="485">
        <f t="shared" si="12"/>
        <v>6.6000000000000014</v>
      </c>
      <c r="P20"/>
      <c r="Q20"/>
    </row>
    <row r="21" spans="1:17" x14ac:dyDescent="0.35">
      <c r="A21" s="626"/>
      <c r="B21" s="626"/>
      <c r="C21" s="628"/>
      <c r="D21" s="656"/>
      <c r="E21" s="656"/>
      <c r="F21" s="656"/>
      <c r="G21" s="657"/>
      <c r="H21" s="657"/>
      <c r="I21" s="657"/>
      <c r="J21"/>
      <c r="K21"/>
      <c r="L21"/>
      <c r="M21" s="485"/>
      <c r="N21" s="485"/>
      <c r="O21" s="485"/>
      <c r="P21"/>
      <c r="Q21"/>
    </row>
    <row r="22" spans="1:17" hidden="1" x14ac:dyDescent="0.35">
      <c r="A22" s="597"/>
      <c r="B22" s="597"/>
      <c r="C22" s="597"/>
      <c r="D22" s="642"/>
      <c r="E22" s="597"/>
      <c r="F22" s="658"/>
      <c r="G22" s="612"/>
      <c r="H22" s="612"/>
      <c r="I22" s="613"/>
      <c r="J22"/>
      <c r="K22"/>
      <c r="L22"/>
      <c r="M22" s="485"/>
      <c r="N22" s="485"/>
      <c r="O22" s="485"/>
      <c r="P22"/>
      <c r="Q22"/>
    </row>
    <row r="23" spans="1:17" hidden="1" x14ac:dyDescent="0.35">
      <c r="A23" s="597"/>
      <c r="B23" s="597"/>
      <c r="C23" s="597"/>
      <c r="D23" s="642"/>
      <c r="E23" s="597"/>
      <c r="F23" s="660"/>
      <c r="G23" s="612"/>
      <c r="H23" s="612"/>
      <c r="I23" s="612"/>
      <c r="J23"/>
      <c r="K23"/>
      <c r="L23"/>
      <c r="P23"/>
      <c r="Q23"/>
    </row>
    <row r="24" spans="1:17" ht="15" hidden="1" customHeight="1" x14ac:dyDescent="0.35">
      <c r="A24" s="655"/>
      <c r="B24" s="645"/>
      <c r="C24" s="645"/>
      <c r="D24" s="645"/>
      <c r="E24" s="645"/>
      <c r="F24" s="661"/>
      <c r="G24" s="662"/>
      <c r="H24" s="662"/>
      <c r="I24" s="662"/>
      <c r="J24"/>
      <c r="K24"/>
      <c r="L24"/>
      <c r="M24" s="485"/>
      <c r="N24" s="485"/>
      <c r="O24" s="485"/>
      <c r="P24"/>
      <c r="Q24"/>
    </row>
    <row r="25" spans="1:17" hidden="1" x14ac:dyDescent="0.35">
      <c r="A25" s="597"/>
      <c r="B25" s="597"/>
      <c r="C25" s="597"/>
      <c r="D25" s="597"/>
      <c r="E25" s="597"/>
      <c r="F25" s="597"/>
      <c r="G25" s="612"/>
      <c r="H25" s="612"/>
      <c r="I25" s="612"/>
      <c r="J25"/>
      <c r="K25"/>
      <c r="L25"/>
      <c r="M25" s="485"/>
      <c r="N25" s="485"/>
      <c r="O25" s="485"/>
      <c r="P25"/>
      <c r="Q25"/>
    </row>
    <row r="26" spans="1:17" hidden="1" x14ac:dyDescent="0.35">
      <c r="A26" s="626"/>
      <c r="B26" s="628"/>
      <c r="C26" s="628"/>
      <c r="D26" s="628"/>
      <c r="E26" s="656"/>
      <c r="F26" s="656"/>
      <c r="G26" s="657"/>
      <c r="H26" s="657"/>
      <c r="I26" s="657"/>
      <c r="J26"/>
      <c r="K26"/>
      <c r="L26"/>
      <c r="M26" s="485"/>
      <c r="N26" s="485"/>
      <c r="O26" s="485"/>
      <c r="P26"/>
      <c r="Q26"/>
    </row>
    <row r="27" spans="1:17" hidden="1" x14ac:dyDescent="0.35">
      <c r="A27" s="597"/>
      <c r="B27" s="597"/>
      <c r="C27" s="597"/>
      <c r="D27" s="597"/>
      <c r="E27" s="597"/>
      <c r="F27" s="659"/>
      <c r="G27" s="612"/>
      <c r="H27" s="612"/>
      <c r="I27" s="613"/>
      <c r="J27"/>
      <c r="K27" t="s">
        <v>268</v>
      </c>
      <c r="L27"/>
      <c r="M27" s="485">
        <f t="shared" ref="M27:M29" si="13">B27</f>
        <v>0</v>
      </c>
      <c r="N27" s="485">
        <f>B27*F27</f>
        <v>0</v>
      </c>
      <c r="O27" s="485">
        <f t="shared" ref="O27:O29" si="14">M27-N27</f>
        <v>0</v>
      </c>
      <c r="P27"/>
      <c r="Q27"/>
    </row>
    <row r="28" spans="1:17" hidden="1" x14ac:dyDescent="0.35">
      <c r="A28" s="597"/>
      <c r="B28" s="597"/>
      <c r="C28" s="597"/>
      <c r="D28" s="597"/>
      <c r="E28" s="597"/>
      <c r="F28" s="659"/>
      <c r="G28" s="612"/>
      <c r="H28" s="612"/>
      <c r="I28" s="613"/>
      <c r="J28"/>
      <c r="K28" t="s">
        <v>268</v>
      </c>
      <c r="L28"/>
      <c r="M28" s="485">
        <f t="shared" si="13"/>
        <v>0</v>
      </c>
      <c r="N28" s="485">
        <f>B28*F28</f>
        <v>0</v>
      </c>
      <c r="O28" s="485">
        <f t="shared" si="14"/>
        <v>0</v>
      </c>
      <c r="P28"/>
      <c r="Q28"/>
    </row>
    <row r="29" spans="1:17" hidden="1" x14ac:dyDescent="0.35">
      <c r="A29" s="597"/>
      <c r="B29" s="597"/>
      <c r="C29" s="597"/>
      <c r="D29" s="597"/>
      <c r="E29" s="597"/>
      <c r="F29" s="658"/>
      <c r="G29" s="612"/>
      <c r="H29" s="612"/>
      <c r="I29" s="613"/>
      <c r="J29"/>
      <c r="K29" t="s">
        <v>268</v>
      </c>
      <c r="L29"/>
      <c r="M29" s="485">
        <f t="shared" si="13"/>
        <v>0</v>
      </c>
      <c r="N29" s="485">
        <f>B29*F29</f>
        <v>0</v>
      </c>
      <c r="O29" s="485">
        <f t="shared" si="14"/>
        <v>0</v>
      </c>
      <c r="P29"/>
      <c r="Q29"/>
    </row>
    <row r="30" spans="1:17" hidden="1" x14ac:dyDescent="0.35">
      <c r="A30" s="626"/>
      <c r="B30" s="628"/>
      <c r="C30" s="628"/>
      <c r="D30" s="628"/>
      <c r="E30" s="656"/>
      <c r="F30" s="656"/>
      <c r="G30" s="657"/>
      <c r="H30" s="657"/>
      <c r="I30" s="657"/>
      <c r="J30"/>
      <c r="K30"/>
      <c r="L30"/>
      <c r="M30" s="485"/>
      <c r="N30" s="485"/>
      <c r="O30" s="485"/>
      <c r="P30"/>
      <c r="Q30"/>
    </row>
    <row r="31" spans="1:17" hidden="1" x14ac:dyDescent="0.35">
      <c r="A31" s="637"/>
      <c r="B31" s="597"/>
      <c r="C31" s="597"/>
      <c r="D31" s="597"/>
      <c r="E31" s="597"/>
      <c r="F31" s="658"/>
      <c r="G31" s="612"/>
      <c r="H31" s="612"/>
      <c r="I31" s="613"/>
      <c r="J31"/>
      <c r="K31" t="s">
        <v>268</v>
      </c>
      <c r="L31"/>
      <c r="M31" s="485">
        <f>B31</f>
        <v>0</v>
      </c>
      <c r="N31" s="485">
        <f>B31*F31</f>
        <v>0</v>
      </c>
      <c r="O31" s="485">
        <f>M31-N31</f>
        <v>0</v>
      </c>
      <c r="P31"/>
      <c r="Q31"/>
    </row>
    <row r="32" spans="1:17" x14ac:dyDescent="0.35">
      <c r="A32" s="597"/>
      <c r="B32" s="597"/>
      <c r="C32" s="597"/>
      <c r="D32" s="597"/>
      <c r="E32" s="597"/>
      <c r="F32" s="597"/>
      <c r="G32" s="612"/>
      <c r="H32" s="612"/>
      <c r="I32" s="612"/>
      <c r="J32"/>
      <c r="K32"/>
      <c r="L32"/>
      <c r="M32" s="485"/>
      <c r="N32" s="485"/>
      <c r="O32" s="485"/>
      <c r="P32"/>
      <c r="Q32"/>
    </row>
    <row r="33" spans="1:17" x14ac:dyDescent="0.35">
      <c r="A33" s="663" t="s">
        <v>462</v>
      </c>
      <c r="B33" s="597"/>
      <c r="C33" s="597"/>
      <c r="D33" s="597"/>
      <c r="E33" s="597"/>
      <c r="F33" s="597"/>
      <c r="G33" s="664">
        <f>SUM(G7:G32)</f>
        <v>13481.975</v>
      </c>
      <c r="H33" s="664">
        <f>SUM(H7:H32)</f>
        <v>161783.70000000001</v>
      </c>
      <c r="I33" s="664"/>
      <c r="J33"/>
      <c r="K33"/>
      <c r="L33"/>
      <c r="M33" s="497">
        <f>SUM(M6:M22)</f>
        <v>1039.5</v>
      </c>
      <c r="N33" s="497">
        <f>SUM(N6:N22)</f>
        <v>896.92499999999995</v>
      </c>
      <c r="O33" s="497">
        <f>SUM(O6:O22)</f>
        <v>142.57499999999999</v>
      </c>
      <c r="P33"/>
      <c r="Q33"/>
    </row>
    <row r="34" spans="1:17" x14ac:dyDescent="0.35">
      <c r="A34" s="600"/>
      <c r="B34" s="600"/>
      <c r="C34" s="600"/>
      <c r="D34" s="600"/>
      <c r="E34" s="600"/>
      <c r="F34" s="600"/>
      <c r="G34" s="600"/>
      <c r="H34" s="600"/>
      <c r="I34" s="600"/>
      <c r="J34"/>
      <c r="K34"/>
      <c r="L34"/>
      <c r="M34" s="719"/>
      <c r="N34" s="720">
        <f>N33/M33</f>
        <v>0.86284271284271274</v>
      </c>
      <c r="O34" s="719">
        <f>O33/M33</f>
        <v>0.13715728715728714</v>
      </c>
      <c r="P34"/>
      <c r="Q34"/>
    </row>
    <row r="35" spans="1:17" x14ac:dyDescent="0.35">
      <c r="A35" s="632" t="s">
        <v>394</v>
      </c>
      <c r="B35" s="600"/>
      <c r="C35" s="600"/>
      <c r="D35" s="600"/>
      <c r="E35" s="600"/>
      <c r="F35" s="600"/>
      <c r="G35" s="600"/>
      <c r="H35" s="600"/>
      <c r="I35" s="600"/>
      <c r="J35"/>
      <c r="K35"/>
      <c r="L35"/>
      <c r="M35"/>
      <c r="N35"/>
      <c r="O35"/>
      <c r="P35"/>
      <c r="Q35"/>
    </row>
    <row r="36" spans="1:17" x14ac:dyDescent="0.35">
      <c r="A36" s="600"/>
      <c r="B36" s="600"/>
      <c r="C36" s="600"/>
      <c r="D36" s="600"/>
      <c r="E36" s="600"/>
      <c r="F36" s="600"/>
      <c r="G36" s="600"/>
      <c r="H36" s="600"/>
      <c r="I36" s="600"/>
      <c r="J36"/>
      <c r="K36"/>
      <c r="L36"/>
      <c r="M36"/>
      <c r="N36"/>
      <c r="O36"/>
      <c r="P36"/>
      <c r="Q36"/>
    </row>
    <row r="37" spans="1:17" x14ac:dyDescent="0.35">
      <c r="A37" s="600"/>
      <c r="B37" s="600"/>
      <c r="C37" s="600"/>
      <c r="D37" s="600"/>
      <c r="E37" s="600"/>
      <c r="F37" s="600"/>
      <c r="G37" s="600"/>
      <c r="H37" s="600"/>
      <c r="I37" s="600"/>
      <c r="J37"/>
      <c r="K37"/>
      <c r="L37"/>
      <c r="M37"/>
      <c r="N37"/>
      <c r="O37"/>
      <c r="P37"/>
      <c r="Q37"/>
    </row>
    <row r="38" spans="1:17" ht="29" x14ac:dyDescent="0.35">
      <c r="A38" s="665"/>
      <c r="B38" s="665"/>
      <c r="C38" s="665"/>
      <c r="D38" s="665"/>
      <c r="E38" s="665"/>
      <c r="F38" s="665"/>
      <c r="G38" s="666" t="s">
        <v>473</v>
      </c>
      <c r="H38" s="666" t="s">
        <v>474</v>
      </c>
      <c r="I38" s="666" t="s">
        <v>282</v>
      </c>
      <c r="J38" s="495"/>
      <c r="K38"/>
      <c r="L38"/>
      <c r="M38"/>
      <c r="N38"/>
      <c r="O38"/>
      <c r="P38"/>
      <c r="Q38"/>
    </row>
    <row r="39" spans="1:17" x14ac:dyDescent="0.35">
      <c r="A39" s="597" t="s">
        <v>286</v>
      </c>
      <c r="B39" s="597"/>
      <c r="C39" s="597"/>
      <c r="D39" s="597"/>
      <c r="E39" s="597"/>
      <c r="F39" s="597"/>
      <c r="G39" s="612">
        <f>H39/12</f>
        <v>300.04446963496815</v>
      </c>
      <c r="H39" s="612">
        <f>Kulud75!F5</f>
        <v>3600.5336356196176</v>
      </c>
      <c r="I39" s="613">
        <f>H39/$H$47</f>
        <v>0.14946143763501868</v>
      </c>
      <c r="J39" s="496"/>
      <c r="K39"/>
      <c r="L39"/>
      <c r="M39"/>
      <c r="N39"/>
      <c r="O39"/>
      <c r="P39"/>
      <c r="Q39"/>
    </row>
    <row r="40" spans="1:17" x14ac:dyDescent="0.35">
      <c r="A40" s="597" t="s">
        <v>463</v>
      </c>
      <c r="B40" s="597"/>
      <c r="C40" s="597"/>
      <c r="D40" s="597"/>
      <c r="E40" s="597"/>
      <c r="F40" s="597"/>
      <c r="G40" s="612">
        <f t="shared" ref="G40:G45" si="15">H40/12</f>
        <v>59.329244470888227</v>
      </c>
      <c r="H40" s="612">
        <f>Kulud75!F14</f>
        <v>711.95093365065873</v>
      </c>
      <c r="I40" s="613">
        <f t="shared" ref="I40:I45" si="16">H40/$H$47</f>
        <v>2.9553733095652426E-2</v>
      </c>
      <c r="J40" s="496"/>
      <c r="K40"/>
      <c r="L40"/>
      <c r="M40"/>
      <c r="N40"/>
      <c r="O40"/>
      <c r="P40"/>
      <c r="Q40"/>
    </row>
    <row r="41" spans="1:17" x14ac:dyDescent="0.35">
      <c r="A41" s="597" t="s">
        <v>397</v>
      </c>
      <c r="B41" s="597"/>
      <c r="C41" s="597"/>
      <c r="D41" s="597"/>
      <c r="E41" s="597"/>
      <c r="F41" s="597"/>
      <c r="G41" s="612">
        <f t="shared" si="15"/>
        <v>200.45876023036544</v>
      </c>
      <c r="H41" s="612">
        <f>Kulud75!F20</f>
        <v>2405.5051227643853</v>
      </c>
      <c r="I41" s="613">
        <f t="shared" si="16"/>
        <v>9.9854713293046446E-2</v>
      </c>
      <c r="J41" s="496"/>
      <c r="K41"/>
      <c r="L41"/>
      <c r="M41"/>
      <c r="N41"/>
      <c r="O41"/>
      <c r="P41"/>
      <c r="Q41"/>
    </row>
    <row r="42" spans="1:17" x14ac:dyDescent="0.35">
      <c r="A42" s="597" t="s">
        <v>464</v>
      </c>
      <c r="B42" s="597"/>
      <c r="C42" s="597"/>
      <c r="D42" s="597"/>
      <c r="E42" s="597"/>
      <c r="F42" s="597"/>
      <c r="G42" s="612">
        <f t="shared" si="15"/>
        <v>579.39906502337442</v>
      </c>
      <c r="H42" s="612">
        <f>Kulud75!F43</f>
        <v>6952.7887802804926</v>
      </c>
      <c r="I42" s="613">
        <f t="shared" si="16"/>
        <v>0.28861660849184606</v>
      </c>
      <c r="J42" s="496"/>
      <c r="K42"/>
      <c r="L42"/>
      <c r="M42"/>
      <c r="N42"/>
      <c r="O42"/>
      <c r="P42"/>
      <c r="Q42"/>
    </row>
    <row r="43" spans="1:17" x14ac:dyDescent="0.35">
      <c r="A43" s="597" t="s">
        <v>402</v>
      </c>
      <c r="B43" s="597"/>
      <c r="C43" s="597"/>
      <c r="D43" s="597"/>
      <c r="E43" s="597"/>
      <c r="F43" s="597"/>
      <c r="G43" s="612">
        <f t="shared" si="15"/>
        <v>410.8523852528686</v>
      </c>
      <c r="H43" s="612">
        <f>Kulud75!F48</f>
        <v>4930.2286230344234</v>
      </c>
      <c r="I43" s="613">
        <f t="shared" si="16"/>
        <v>0.20465829025403162</v>
      </c>
      <c r="J43" s="496"/>
      <c r="K43"/>
      <c r="L43"/>
      <c r="M43"/>
      <c r="N43"/>
      <c r="O43"/>
      <c r="P43"/>
      <c r="Q43"/>
    </row>
    <row r="44" spans="1:17" x14ac:dyDescent="0.35">
      <c r="A44" s="597" t="s">
        <v>403</v>
      </c>
      <c r="B44" s="597"/>
      <c r="C44" s="597"/>
      <c r="D44" s="597"/>
      <c r="E44" s="597"/>
      <c r="F44" s="597"/>
      <c r="G44" s="612">
        <f t="shared" si="15"/>
        <v>304.94687632809178</v>
      </c>
      <c r="H44" s="612">
        <f>Kulud75!F54</f>
        <v>3659.3625159371013</v>
      </c>
      <c r="I44" s="613">
        <f t="shared" si="16"/>
        <v>0.15190347815360319</v>
      </c>
      <c r="J44" s="496"/>
      <c r="K44"/>
      <c r="L44"/>
      <c r="M44"/>
      <c r="N44"/>
      <c r="O44"/>
      <c r="P44"/>
      <c r="Q44"/>
    </row>
    <row r="45" spans="1:17" x14ac:dyDescent="0.35">
      <c r="A45" s="612" t="s">
        <v>405</v>
      </c>
      <c r="B45" s="597"/>
      <c r="C45" s="597"/>
      <c r="D45" s="597"/>
      <c r="E45" s="597"/>
      <c r="F45" s="597"/>
      <c r="G45" s="612">
        <f t="shared" si="15"/>
        <v>152.47343816404589</v>
      </c>
      <c r="H45" s="612">
        <f>Kulud75!F56</f>
        <v>1829.6812579685507</v>
      </c>
      <c r="I45" s="613">
        <f t="shared" si="16"/>
        <v>7.5951739076801597E-2</v>
      </c>
      <c r="J45" s="496"/>
      <c r="K45"/>
      <c r="L45"/>
      <c r="M45"/>
      <c r="N45"/>
      <c r="O45"/>
      <c r="P45"/>
      <c r="Q45"/>
    </row>
    <row r="46" spans="1:17" x14ac:dyDescent="0.35">
      <c r="A46" s="597"/>
      <c r="B46" s="597"/>
      <c r="C46" s="597"/>
      <c r="D46" s="597"/>
      <c r="E46" s="597"/>
      <c r="F46" s="597"/>
      <c r="G46" s="612"/>
      <c r="H46" s="612"/>
      <c r="I46" s="613"/>
      <c r="J46" s="496"/>
      <c r="K46"/>
      <c r="L46"/>
      <c r="M46"/>
      <c r="N46"/>
      <c r="O46"/>
      <c r="P46"/>
      <c r="Q46"/>
    </row>
    <row r="47" spans="1:17" x14ac:dyDescent="0.35">
      <c r="A47" s="663" t="s">
        <v>465</v>
      </c>
      <c r="B47" s="597"/>
      <c r="C47" s="597"/>
      <c r="D47" s="597"/>
      <c r="E47" s="597"/>
      <c r="F47" s="597"/>
      <c r="G47" s="664">
        <f>SUM(G39:G46)</f>
        <v>2007.5042391046027</v>
      </c>
      <c r="H47" s="664">
        <f>SUM(H39:H46)</f>
        <v>24090.050869255228</v>
      </c>
      <c r="I47" s="667">
        <f>SUM(I39:I46)</f>
        <v>1</v>
      </c>
      <c r="J47" s="498"/>
      <c r="K47"/>
      <c r="L47"/>
      <c r="M47"/>
      <c r="N47"/>
      <c r="O47"/>
      <c r="P47"/>
      <c r="Q47"/>
    </row>
    <row r="48" spans="1:17" x14ac:dyDescent="0.35">
      <c r="A48"/>
      <c r="B48"/>
      <c r="C48"/>
      <c r="D48"/>
      <c r="E48"/>
      <c r="F48"/>
      <c r="G48"/>
      <c r="H48"/>
      <c r="I48"/>
      <c r="J48"/>
      <c r="K48"/>
      <c r="L48"/>
      <c r="M48"/>
      <c r="N48"/>
      <c r="O48"/>
      <c r="P48"/>
      <c r="Q48"/>
    </row>
    <row r="49" spans="1:17" x14ac:dyDescent="0.35">
      <c r="A49" s="615" t="s">
        <v>65</v>
      </c>
      <c r="B49" s="499"/>
      <c r="C49" s="499"/>
      <c r="D49" s="499"/>
      <c r="E49" s="499"/>
      <c r="F49" s="499"/>
      <c r="G49" s="500">
        <f>F36+G47</f>
        <v>2007.5042391046027</v>
      </c>
      <c r="H49" s="500">
        <f>G36+H47</f>
        <v>24090.050869255228</v>
      </c>
      <c r="I49" s="501"/>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43"/>
  <sheetViews>
    <sheetView workbookViewId="0">
      <selection activeCell="H40" sqref="H40"/>
    </sheetView>
  </sheetViews>
  <sheetFormatPr defaultColWidth="9.1796875" defaultRowHeight="14" x14ac:dyDescent="0.3"/>
  <cols>
    <col min="1" max="1" width="33.453125" style="517" customWidth="1"/>
    <col min="2" max="2" width="12.453125" style="517" customWidth="1"/>
    <col min="3" max="3" width="12.81640625" style="517" customWidth="1"/>
    <col min="4" max="4" width="12" style="517" customWidth="1"/>
    <col min="5" max="6" width="13.36328125" style="517" customWidth="1"/>
    <col min="7" max="16384" width="9.1796875" style="517"/>
  </cols>
  <sheetData>
    <row r="1" spans="1:9" x14ac:dyDescent="0.3">
      <c r="A1" s="520" t="s">
        <v>343</v>
      </c>
      <c r="B1" s="521"/>
      <c r="C1" s="521"/>
      <c r="D1" s="521"/>
      <c r="E1" s="521"/>
      <c r="F1" s="521"/>
      <c r="G1" s="521"/>
      <c r="H1" s="521"/>
      <c r="I1" s="521"/>
    </row>
    <row r="2" spans="1:9" x14ac:dyDescent="0.3">
      <c r="A2" s="521" t="s">
        <v>512</v>
      </c>
      <c r="B2" s="521"/>
      <c r="C2" s="521"/>
      <c r="D2" s="521"/>
      <c r="E2" s="521"/>
      <c r="F2" s="521"/>
      <c r="G2" s="521"/>
      <c r="H2" s="521"/>
      <c r="I2" s="521"/>
    </row>
    <row r="3" spans="1:9" ht="28" x14ac:dyDescent="0.3">
      <c r="A3" s="522"/>
      <c r="B3" s="523" t="s">
        <v>352</v>
      </c>
      <c r="C3" s="524" t="s">
        <v>353</v>
      </c>
      <c r="D3" s="525" t="s">
        <v>354</v>
      </c>
      <c r="E3" s="522"/>
      <c r="F3" s="521"/>
      <c r="G3" s="521" t="s">
        <v>342</v>
      </c>
      <c r="H3" s="521"/>
      <c r="I3" s="521"/>
    </row>
    <row r="4" spans="1:9" x14ac:dyDescent="0.3">
      <c r="A4" s="526" t="s">
        <v>346</v>
      </c>
      <c r="B4" s="527"/>
      <c r="C4" s="528"/>
      <c r="D4" s="529"/>
      <c r="E4" s="529"/>
      <c r="F4" s="521"/>
      <c r="G4" s="521"/>
      <c r="H4" s="521"/>
      <c r="I4" s="521"/>
    </row>
    <row r="5" spans="1:9" x14ac:dyDescent="0.3">
      <c r="A5" s="530"/>
      <c r="B5" s="531"/>
      <c r="C5" s="532"/>
      <c r="D5" s="530"/>
      <c r="E5" s="530"/>
      <c r="F5" s="521"/>
      <c r="G5" s="521"/>
      <c r="H5" s="521"/>
      <c r="I5" s="521"/>
    </row>
    <row r="6" spans="1:9" x14ac:dyDescent="0.3">
      <c r="A6" s="530" t="str">
        <f>Tulud50!A3</f>
        <v>Üüritulud</v>
      </c>
      <c r="B6" s="533">
        <f>Tulud50!G33</f>
        <v>10503.35</v>
      </c>
      <c r="C6" s="534">
        <f>Tulud75!H33</f>
        <v>161783.70000000001</v>
      </c>
      <c r="D6" s="518">
        <f>C6/$C$9</f>
        <v>0.87039562737290255</v>
      </c>
      <c r="E6" s="518"/>
      <c r="F6" s="519"/>
      <c r="G6" s="535">
        <f>C6/1000</f>
        <v>161.78370000000001</v>
      </c>
      <c r="H6" s="521"/>
      <c r="I6" s="521"/>
    </row>
    <row r="7" spans="1:9" x14ac:dyDescent="0.3">
      <c r="A7" s="536" t="str">
        <f>Tulud50!A35</f>
        <v>Arved üürnikele kommunaalkulude eest</v>
      </c>
      <c r="B7" s="533">
        <f>Tulud50!G47</f>
        <v>1836.709363293277</v>
      </c>
      <c r="C7" s="534">
        <f>Tulud75!H47</f>
        <v>24090.050869255228</v>
      </c>
      <c r="D7" s="518">
        <f>C7/$C$9</f>
        <v>0.1296043726270974</v>
      </c>
      <c r="E7" s="518"/>
      <c r="F7" s="519"/>
      <c r="G7" s="521"/>
      <c r="H7" s="521"/>
      <c r="I7" s="521"/>
    </row>
    <row r="8" spans="1:9" x14ac:dyDescent="0.3">
      <c r="A8" s="530"/>
      <c r="B8" s="531"/>
      <c r="C8" s="532"/>
      <c r="D8" s="530"/>
      <c r="E8" s="530"/>
      <c r="F8" s="521"/>
      <c r="G8" s="521"/>
      <c r="H8" s="521"/>
      <c r="I8" s="521"/>
    </row>
    <row r="9" spans="1:9" x14ac:dyDescent="0.3">
      <c r="A9" s="537" t="s">
        <v>345</v>
      </c>
      <c r="B9" s="538">
        <f>SUM(B6:B8)</f>
        <v>12340.059363293278</v>
      </c>
      <c r="C9" s="539">
        <f>SUM(C6:C8)</f>
        <v>185873.75086925525</v>
      </c>
      <c r="D9" s="530"/>
      <c r="E9" s="530"/>
      <c r="F9" s="521"/>
      <c r="G9" s="535">
        <f>C9/1000</f>
        <v>185.87375086925525</v>
      </c>
      <c r="H9" s="521"/>
      <c r="I9" s="521"/>
    </row>
    <row r="10" spans="1:9" x14ac:dyDescent="0.3">
      <c r="A10" s="521"/>
      <c r="B10" s="521"/>
      <c r="C10" s="521"/>
      <c r="D10" s="521"/>
      <c r="E10" s="521"/>
      <c r="F10" s="521"/>
      <c r="G10" s="521"/>
      <c r="H10" s="521"/>
      <c r="I10" s="521"/>
    </row>
    <row r="11" spans="1:9" ht="48" customHeight="1" x14ac:dyDescent="0.3">
      <c r="A11" s="526" t="s">
        <v>347</v>
      </c>
      <c r="B11" s="527"/>
      <c r="C11" s="528"/>
      <c r="D11" s="540" t="s">
        <v>355</v>
      </c>
      <c r="E11" s="540" t="s">
        <v>356</v>
      </c>
      <c r="F11" s="541"/>
      <c r="G11" s="521"/>
      <c r="H11" s="521"/>
      <c r="I11" s="521"/>
    </row>
    <row r="12" spans="1:9" x14ac:dyDescent="0.3">
      <c r="A12" s="542"/>
      <c r="B12" s="531"/>
      <c r="C12" s="532"/>
      <c r="D12" s="530"/>
      <c r="E12" s="530"/>
      <c r="F12" s="521"/>
      <c r="G12" s="521"/>
      <c r="H12" s="521"/>
      <c r="I12" s="521"/>
    </row>
    <row r="13" spans="1:9" x14ac:dyDescent="0.3">
      <c r="A13" s="537" t="s">
        <v>348</v>
      </c>
      <c r="B13" s="531"/>
      <c r="C13" s="532"/>
      <c r="D13" s="530"/>
      <c r="E13" s="530"/>
      <c r="F13" s="521"/>
      <c r="G13" s="521"/>
      <c r="H13" s="521"/>
      <c r="I13" s="521"/>
    </row>
    <row r="14" spans="1:9" x14ac:dyDescent="0.3">
      <c r="A14" s="530" t="str">
        <f>Kulud50!A4</f>
        <v>Kommunaalteenused</v>
      </c>
      <c r="B14" s="533">
        <f>C14/12</f>
        <v>727.49082713333337</v>
      </c>
      <c r="C14" s="534">
        <f>Kulud75!E4</f>
        <v>8729.8899256000004</v>
      </c>
      <c r="D14" s="518">
        <f>C14/$C$35</f>
        <v>2.222107795289081E-2</v>
      </c>
      <c r="E14" s="518">
        <f>C14/$C$25</f>
        <v>5.7716758522993447E-2</v>
      </c>
      <c r="F14" s="519"/>
      <c r="G14" s="521"/>
      <c r="H14" s="521"/>
      <c r="I14" s="521"/>
    </row>
    <row r="15" spans="1:9" x14ac:dyDescent="0.3">
      <c r="A15" s="530" t="str">
        <f>Kulud50!A25</f>
        <v>Personalikulud</v>
      </c>
      <c r="B15" s="533">
        <f t="shared" ref="B15:B23" si="0">C15/12</f>
        <v>5655.7259999999997</v>
      </c>
      <c r="C15" s="534">
        <f>Kulud75!E25</f>
        <v>67868.712</v>
      </c>
      <c r="D15" s="518">
        <f t="shared" ref="D15:D25" si="1">C15/$C$35</f>
        <v>0.17275314497286104</v>
      </c>
      <c r="E15" s="518">
        <f t="shared" ref="E15:E25" si="2">C15/$C$25</f>
        <v>0.44870692473265789</v>
      </c>
      <c r="F15" s="519"/>
      <c r="G15" s="521"/>
      <c r="H15" s="521"/>
      <c r="I15" s="521"/>
    </row>
    <row r="16" spans="1:9" x14ac:dyDescent="0.3">
      <c r="A16" s="530" t="str">
        <f>Kulud50!A29</f>
        <v>Remonditööd</v>
      </c>
      <c r="B16" s="533">
        <f t="shared" si="0"/>
        <v>450</v>
      </c>
      <c r="C16" s="534">
        <f>Kulud75!E29</f>
        <v>5400</v>
      </c>
      <c r="D16" s="518">
        <f t="shared" si="1"/>
        <v>1.3745169981322906E-2</v>
      </c>
      <c r="E16" s="518">
        <f t="shared" si="2"/>
        <v>3.5701537897998604E-2</v>
      </c>
      <c r="F16" s="519"/>
      <c r="G16" s="521"/>
      <c r="H16" s="521"/>
      <c r="I16" s="521"/>
    </row>
    <row r="17" spans="1:9" x14ac:dyDescent="0.3">
      <c r="A17" s="530" t="str">
        <f>Kulud50!A31</f>
        <v>Tehnohooldus</v>
      </c>
      <c r="B17" s="533">
        <f t="shared" si="0"/>
        <v>700</v>
      </c>
      <c r="C17" s="534">
        <f>Kulud75!E31</f>
        <v>8400</v>
      </c>
      <c r="D17" s="518">
        <f t="shared" si="1"/>
        <v>2.1381375526502298E-2</v>
      </c>
      <c r="E17" s="518">
        <f t="shared" si="2"/>
        <v>5.5535725619108939E-2</v>
      </c>
      <c r="F17" s="519"/>
      <c r="G17" s="521"/>
      <c r="H17" s="521"/>
      <c r="I17" s="521"/>
    </row>
    <row r="18" spans="1:9" x14ac:dyDescent="0.3">
      <c r="A18" s="530" t="str">
        <f>Kulud50!A36</f>
        <v>Turundus</v>
      </c>
      <c r="B18" s="533">
        <f t="shared" si="0"/>
        <v>2583.3333333333335</v>
      </c>
      <c r="C18" s="534">
        <f>Kulud75!E36</f>
        <v>31000</v>
      </c>
      <c r="D18" s="518">
        <f t="shared" si="1"/>
        <v>7.8907457300187056E-2</v>
      </c>
      <c r="E18" s="518">
        <f t="shared" si="2"/>
        <v>0.20495327311814013</v>
      </c>
      <c r="F18" s="519"/>
      <c r="G18" s="521"/>
      <c r="H18" s="521"/>
      <c r="I18" s="521"/>
    </row>
    <row r="19" spans="1:9" x14ac:dyDescent="0.3">
      <c r="A19" s="530" t="str">
        <f>Kulud50!A43</f>
        <v>Hooldus (hooned)</v>
      </c>
      <c r="B19" s="533">
        <f t="shared" si="0"/>
        <v>760</v>
      </c>
      <c r="C19" s="534">
        <f>Kulud75!E43</f>
        <v>9120</v>
      </c>
      <c r="D19" s="518">
        <f t="shared" si="1"/>
        <v>2.3214064857345354E-2</v>
      </c>
      <c r="E19" s="518">
        <f t="shared" si="2"/>
        <v>6.0295930672175417E-2</v>
      </c>
      <c r="F19" s="519"/>
      <c r="G19" s="521"/>
      <c r="H19" s="521"/>
      <c r="I19" s="521"/>
    </row>
    <row r="20" spans="1:9" x14ac:dyDescent="0.3">
      <c r="A20" s="530" t="str">
        <f>Kulud50!A48</f>
        <v>Hooldus (territoorium)</v>
      </c>
      <c r="B20" s="533">
        <f t="shared" si="0"/>
        <v>538.91666666666663</v>
      </c>
      <c r="C20" s="534">
        <f>Kulud75!E48</f>
        <v>6467</v>
      </c>
      <c r="D20" s="518">
        <f t="shared" si="1"/>
        <v>1.6461113753558375E-2</v>
      </c>
      <c r="E20" s="518">
        <f t="shared" si="2"/>
        <v>4.2755897330806841E-2</v>
      </c>
      <c r="F20" s="519"/>
      <c r="G20" s="521"/>
      <c r="H20" s="521"/>
      <c r="I20" s="521"/>
    </row>
    <row r="21" spans="1:9" x14ac:dyDescent="0.3">
      <c r="A21" s="530" t="str">
        <f>Kulud50!A54</f>
        <v>Valve</v>
      </c>
      <c r="B21" s="533">
        <f t="shared" si="0"/>
        <v>400</v>
      </c>
      <c r="C21" s="534">
        <f>Kulud75!E54</f>
        <v>4800</v>
      </c>
      <c r="D21" s="518">
        <f t="shared" si="1"/>
        <v>1.2217928872287027E-2</v>
      </c>
      <c r="E21" s="518">
        <f t="shared" si="2"/>
        <v>3.1734700353776533E-2</v>
      </c>
      <c r="F21" s="519"/>
      <c r="G21" s="521"/>
      <c r="H21" s="521"/>
      <c r="I21" s="521"/>
    </row>
    <row r="22" spans="1:9" x14ac:dyDescent="0.3">
      <c r="A22" s="530" t="str">
        <f>Kulud50!A55</f>
        <v>Kindlustus</v>
      </c>
      <c r="B22" s="533">
        <f t="shared" si="0"/>
        <v>434.03220833333336</v>
      </c>
      <c r="C22" s="534">
        <f>Kulud75!E55</f>
        <v>5208.3865000000005</v>
      </c>
      <c r="D22" s="518">
        <f t="shared" si="1"/>
        <v>1.325743662424583E-2</v>
      </c>
      <c r="E22" s="518">
        <f t="shared" si="2"/>
        <v>3.4434705188365611E-2</v>
      </c>
      <c r="F22" s="519"/>
      <c r="G22" s="521"/>
      <c r="H22" s="521"/>
      <c r="I22" s="521"/>
    </row>
    <row r="23" spans="1:9" x14ac:dyDescent="0.3">
      <c r="A23" s="530" t="str">
        <f>Kulud50!A56</f>
        <v>Muu</v>
      </c>
      <c r="B23" s="533">
        <f t="shared" si="0"/>
        <v>355</v>
      </c>
      <c r="C23" s="534">
        <f>Kulud75!E56</f>
        <v>4260</v>
      </c>
      <c r="D23" s="518">
        <f t="shared" si="1"/>
        <v>1.0843411874154737E-2</v>
      </c>
      <c r="E23" s="518">
        <f t="shared" si="2"/>
        <v>2.8164546563976673E-2</v>
      </c>
      <c r="F23" s="519"/>
      <c r="G23" s="521"/>
      <c r="H23" s="521"/>
      <c r="I23" s="521"/>
    </row>
    <row r="24" spans="1:9" x14ac:dyDescent="0.3">
      <c r="A24" s="530"/>
      <c r="B24" s="533"/>
      <c r="C24" s="534"/>
      <c r="D24" s="530"/>
      <c r="E24" s="530"/>
      <c r="F24" s="521"/>
      <c r="G24" s="521"/>
      <c r="H24" s="521"/>
      <c r="I24" s="521"/>
    </row>
    <row r="25" spans="1:9" x14ac:dyDescent="0.3">
      <c r="A25" s="537" t="s">
        <v>349</v>
      </c>
      <c r="B25" s="538">
        <f>SUM(B14:B24)</f>
        <v>12604.499035466666</v>
      </c>
      <c r="C25" s="539">
        <f>SUM(C14:C24)</f>
        <v>151253.98842559999</v>
      </c>
      <c r="D25" s="518">
        <f t="shared" si="1"/>
        <v>0.38500218171535544</v>
      </c>
      <c r="E25" s="518">
        <f t="shared" si="2"/>
        <v>1</v>
      </c>
      <c r="F25" s="519"/>
      <c r="G25" s="521"/>
      <c r="H25" s="521"/>
      <c r="I25" s="521"/>
    </row>
    <row r="26" spans="1:9" x14ac:dyDescent="0.3">
      <c r="A26" s="521"/>
      <c r="B26" s="543"/>
      <c r="C26" s="543"/>
      <c r="D26" s="521"/>
      <c r="E26" s="521"/>
      <c r="F26" s="521"/>
      <c r="G26" s="521"/>
      <c r="H26" s="521"/>
      <c r="I26" s="521"/>
    </row>
    <row r="27" spans="1:9" x14ac:dyDescent="0.3">
      <c r="A27" s="544" t="s">
        <v>301</v>
      </c>
      <c r="B27" s="545">
        <f>B9-B25</f>
        <v>-264.43967217338832</v>
      </c>
      <c r="C27" s="546">
        <f>C9-C25</f>
        <v>34619.762443655258</v>
      </c>
      <c r="D27" s="547"/>
      <c r="E27" s="547"/>
      <c r="F27" s="548"/>
      <c r="G27" s="535">
        <f>C27/1000</f>
        <v>34.619762443655254</v>
      </c>
      <c r="H27" s="521"/>
      <c r="I27" s="521"/>
    </row>
    <row r="28" spans="1:9" x14ac:dyDescent="0.3">
      <c r="A28" s="530"/>
      <c r="B28" s="533"/>
      <c r="C28" s="534"/>
      <c r="D28" s="530"/>
      <c r="E28" s="530"/>
      <c r="F28" s="521"/>
      <c r="G28" s="521"/>
      <c r="H28" s="521"/>
      <c r="I28" s="521"/>
    </row>
    <row r="29" spans="1:9" x14ac:dyDescent="0.3">
      <c r="A29" s="530" t="str">
        <f>Kulud50!A64</f>
        <v>Amortisatsioon</v>
      </c>
      <c r="B29" s="533">
        <f>SUM(B30:B33)</f>
        <v>20134.273974358974</v>
      </c>
      <c r="C29" s="534">
        <f>SUM(C30:C33)</f>
        <v>241611.2876923077</v>
      </c>
      <c r="D29" s="518">
        <f t="shared" ref="D29:D33" si="3">C29/$C$35</f>
        <v>0.6149978182846445</v>
      </c>
      <c r="E29" s="518"/>
      <c r="F29" s="519"/>
      <c r="G29" s="521"/>
      <c r="H29" s="521"/>
      <c r="I29" s="521"/>
    </row>
    <row r="30" spans="1:9" x14ac:dyDescent="0.3">
      <c r="A30" s="549" t="s">
        <v>327</v>
      </c>
      <c r="B30" s="533">
        <f>C30/12</f>
        <v>14343.331666666667</v>
      </c>
      <c r="C30" s="534">
        <f>Kulud75!E65</f>
        <v>172119.98</v>
      </c>
      <c r="D30" s="518">
        <f t="shared" si="3"/>
        <v>0.4381145152373887</v>
      </c>
      <c r="E30" s="530"/>
      <c r="F30" s="521"/>
      <c r="G30" s="521"/>
      <c r="H30" s="521"/>
      <c r="I30" s="521"/>
    </row>
    <row r="31" spans="1:9" x14ac:dyDescent="0.3">
      <c r="A31" s="549" t="s">
        <v>328</v>
      </c>
      <c r="B31" s="533">
        <f>C31/12</f>
        <v>5790.9423076923076</v>
      </c>
      <c r="C31" s="534">
        <f>Kulud75!E66</f>
        <v>69491.307692307688</v>
      </c>
      <c r="D31" s="518">
        <f t="shared" si="3"/>
        <v>0.17688330304725577</v>
      </c>
      <c r="E31" s="530"/>
      <c r="F31" s="521"/>
      <c r="G31" s="521"/>
      <c r="H31" s="521"/>
      <c r="I31" s="521"/>
    </row>
    <row r="32" spans="1:9" hidden="1" x14ac:dyDescent="0.3">
      <c r="A32" s="549">
        <f>Kulud50!A67</f>
        <v>0</v>
      </c>
      <c r="B32" s="533">
        <f>C32/12</f>
        <v>0</v>
      </c>
      <c r="C32" s="534">
        <f>Kulud75!E67</f>
        <v>0</v>
      </c>
      <c r="D32" s="518">
        <f t="shared" si="3"/>
        <v>0</v>
      </c>
      <c r="E32" s="530"/>
      <c r="F32" s="521"/>
      <c r="G32" s="521"/>
      <c r="H32" s="521"/>
      <c r="I32" s="521"/>
    </row>
    <row r="33" spans="1:9" hidden="1" x14ac:dyDescent="0.3">
      <c r="A33" s="549">
        <f>Kulud50!A68</f>
        <v>0</v>
      </c>
      <c r="B33" s="533">
        <f>C33/12</f>
        <v>0</v>
      </c>
      <c r="C33" s="534">
        <f>Kulud75!E68</f>
        <v>0</v>
      </c>
      <c r="D33" s="518">
        <f t="shared" si="3"/>
        <v>0</v>
      </c>
      <c r="E33" s="530"/>
      <c r="F33" s="521"/>
      <c r="G33" s="521"/>
      <c r="H33" s="521"/>
      <c r="I33" s="521"/>
    </row>
    <row r="34" spans="1:9" x14ac:dyDescent="0.3">
      <c r="A34" s="530"/>
      <c r="B34" s="531"/>
      <c r="C34" s="532"/>
      <c r="D34" s="530"/>
      <c r="E34" s="530"/>
      <c r="F34" s="521"/>
      <c r="G34" s="521"/>
      <c r="H34" s="521"/>
      <c r="I34" s="521"/>
    </row>
    <row r="35" spans="1:9" x14ac:dyDescent="0.3">
      <c r="A35" s="537" t="s">
        <v>350</v>
      </c>
      <c r="B35" s="538">
        <f>B25+B29</f>
        <v>32738.77300982564</v>
      </c>
      <c r="C35" s="539">
        <f>C25+C29</f>
        <v>392865.27611790772</v>
      </c>
      <c r="D35" s="518">
        <f t="shared" ref="D35" si="4">C35/$C$35</f>
        <v>1</v>
      </c>
      <c r="E35" s="518"/>
      <c r="F35" s="519"/>
      <c r="G35" s="535">
        <f>C35/1000</f>
        <v>392.86527611790774</v>
      </c>
      <c r="H35" s="521"/>
      <c r="I35" s="521"/>
    </row>
    <row r="36" spans="1:9" x14ac:dyDescent="0.3">
      <c r="A36" s="521"/>
      <c r="B36" s="521"/>
      <c r="C36" s="521"/>
      <c r="D36" s="521"/>
      <c r="E36" s="521"/>
      <c r="F36" s="521"/>
      <c r="G36" s="521"/>
      <c r="H36" s="521"/>
      <c r="I36" s="521"/>
    </row>
    <row r="37" spans="1:9" hidden="1" x14ac:dyDescent="0.3">
      <c r="A37" s="521"/>
      <c r="B37" s="521"/>
      <c r="C37" s="521"/>
      <c r="D37" s="521"/>
      <c r="E37" s="521"/>
      <c r="F37" s="521"/>
      <c r="G37" s="521"/>
      <c r="H37" s="521"/>
      <c r="I37" s="521"/>
    </row>
    <row r="38" spans="1:9" x14ac:dyDescent="0.3">
      <c r="A38" s="550" t="s">
        <v>351</v>
      </c>
      <c r="B38" s="551">
        <f>B9-B35</f>
        <v>-20398.713646532364</v>
      </c>
      <c r="C38" s="552">
        <f>C9-C35</f>
        <v>-206991.52524865247</v>
      </c>
      <c r="D38" s="553"/>
      <c r="E38" s="552"/>
      <c r="F38" s="548"/>
      <c r="G38" s="535">
        <f>C38/1000</f>
        <v>-206.99152524865247</v>
      </c>
      <c r="H38" s="521"/>
      <c r="I38" s="521"/>
    </row>
    <row r="39" spans="1:9" x14ac:dyDescent="0.3">
      <c r="A39" s="554"/>
      <c r="B39" s="555"/>
      <c r="C39" s="556"/>
      <c r="D39" s="557"/>
      <c r="E39" s="556"/>
      <c r="F39" s="548"/>
      <c r="G39" s="521"/>
      <c r="H39" s="521"/>
      <c r="I39" s="521"/>
    </row>
    <row r="40" spans="1:9" x14ac:dyDescent="0.3">
      <c r="A40" s="520"/>
      <c r="B40" s="548"/>
      <c r="C40" s="548"/>
      <c r="D40" s="548"/>
      <c r="E40" s="548"/>
      <c r="F40" s="548"/>
      <c r="G40" s="521"/>
      <c r="H40" s="521"/>
      <c r="I40" s="521"/>
    </row>
    <row r="41" spans="1:9" x14ac:dyDescent="0.3">
      <c r="A41" s="521"/>
      <c r="B41" s="521"/>
      <c r="C41" s="521"/>
      <c r="D41" s="521"/>
      <c r="E41" s="521"/>
      <c r="F41" s="521"/>
      <c r="G41" s="521"/>
      <c r="H41" s="521"/>
      <c r="I41" s="521"/>
    </row>
    <row r="42" spans="1:9" x14ac:dyDescent="0.3">
      <c r="A42" s="558"/>
      <c r="B42" s="543"/>
      <c r="C42" s="543"/>
      <c r="D42" s="521"/>
      <c r="E42" s="521"/>
      <c r="F42" s="521"/>
      <c r="G42" s="521"/>
      <c r="H42" s="521"/>
      <c r="I42" s="521"/>
    </row>
    <row r="43" spans="1:9" x14ac:dyDescent="0.3">
      <c r="A43" s="558"/>
      <c r="B43" s="543"/>
      <c r="C43" s="543"/>
      <c r="D43" s="521"/>
      <c r="E43" s="521"/>
      <c r="F43" s="521"/>
      <c r="G43" s="521"/>
      <c r="H43" s="521"/>
      <c r="I43" s="521"/>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M39"/>
  <sheetViews>
    <sheetView topLeftCell="A4" workbookViewId="0">
      <selection activeCell="F9" sqref="F8:F9"/>
    </sheetView>
  </sheetViews>
  <sheetFormatPr defaultColWidth="9.1796875" defaultRowHeight="14" x14ac:dyDescent="0.3"/>
  <cols>
    <col min="1" max="1" width="24.81640625" style="521" customWidth="1"/>
    <col min="2" max="2" width="9.6328125" style="521" customWidth="1"/>
    <col min="3" max="3" width="10.453125" style="521" customWidth="1"/>
    <col min="4" max="16384" width="9.1796875" style="521"/>
  </cols>
  <sheetData>
    <row r="2" spans="1:9" x14ac:dyDescent="0.3">
      <c r="A2" s="883" t="str">
        <f>'Sots.majanduslik moju'!B71</f>
        <v>Näitaja</v>
      </c>
      <c r="B2" s="883"/>
      <c r="C2" s="883" t="str">
        <f>'Sots.majanduslik moju'!D71</f>
        <v>Tähendus</v>
      </c>
      <c r="D2" s="883"/>
    </row>
    <row r="3" spans="1:9" x14ac:dyDescent="0.3">
      <c r="A3" s="883"/>
      <c r="B3" s="883"/>
      <c r="C3" s="883"/>
      <c r="D3" s="883"/>
    </row>
    <row r="4" spans="1:9" ht="23.25" customHeight="1" x14ac:dyDescent="0.3">
      <c r="A4" s="869" t="str">
        <f>'Sots.majanduslik moju'!B73</f>
        <v>NPV</v>
      </c>
      <c r="B4" s="869"/>
      <c r="C4" s="621">
        <f>'Sots.majanduslik moju'!D73/1000000</f>
        <v>72.719136350787579</v>
      </c>
      <c r="D4" s="532" t="str">
        <f>'Sots.majanduslik moju'!E73</f>
        <v>mln eurot</v>
      </c>
    </row>
    <row r="5" spans="1:9" ht="15.5" x14ac:dyDescent="0.35">
      <c r="A5" s="869" t="str">
        <f>'Sots.majanduslik moju'!B74</f>
        <v>PI</v>
      </c>
      <c r="B5" s="869"/>
      <c r="C5" s="622">
        <f>'Sots.majanduslik moju'!D74</f>
        <v>15.618143880947773</v>
      </c>
      <c r="D5" s="532" t="s">
        <v>358</v>
      </c>
      <c r="E5" s="593"/>
      <c r="F5" s="399"/>
      <c r="H5" s="535"/>
      <c r="I5" s="687">
        <f>C6/4%</f>
        <v>10.438199698681899</v>
      </c>
    </row>
    <row r="6" spans="1:9" ht="15.5" x14ac:dyDescent="0.35">
      <c r="A6" s="869" t="str">
        <f>'Sots.majanduslik moju'!B75</f>
        <v>IRR</v>
      </c>
      <c r="B6" s="869"/>
      <c r="C6" s="623">
        <f>'Sots.majanduslik moju'!D75</f>
        <v>0.41752798794727597</v>
      </c>
      <c r="D6" s="532"/>
      <c r="E6" s="594"/>
      <c r="F6" s="399"/>
    </row>
    <row r="7" spans="1:9" ht="15.5" x14ac:dyDescent="0.35">
      <c r="A7" s="869" t="str">
        <f>'Sots.majanduslik moju'!B76</f>
        <v>DPP</v>
      </c>
      <c r="B7" s="869"/>
      <c r="C7" s="531">
        <f>'Sots.majanduslik moju'!D76</f>
        <v>5</v>
      </c>
      <c r="D7" s="532" t="str">
        <f>'Sots.majanduslik moju'!E76</f>
        <v>aasta</v>
      </c>
      <c r="E7" s="595"/>
      <c r="F7" s="399"/>
    </row>
    <row r="8" spans="1:9" ht="15.5" x14ac:dyDescent="0.35">
      <c r="C8" s="596"/>
      <c r="D8" s="399"/>
      <c r="E8" s="596"/>
      <c r="F8" s="399"/>
    </row>
    <row r="12" spans="1:9" ht="33.75" customHeight="1" x14ac:dyDescent="0.3">
      <c r="A12" s="590"/>
      <c r="B12" s="590"/>
      <c r="C12" s="882" t="s">
        <v>339</v>
      </c>
      <c r="D12" s="882"/>
      <c r="E12" s="882"/>
      <c r="F12" s="882"/>
      <c r="G12" s="882"/>
      <c r="H12" s="882"/>
    </row>
    <row r="13" spans="1:9" ht="23.25" customHeight="1" x14ac:dyDescent="0.3">
      <c r="A13" s="591"/>
      <c r="B13" s="592"/>
      <c r="C13" s="880" t="s">
        <v>329</v>
      </c>
      <c r="D13" s="881"/>
      <c r="E13" s="880" t="s">
        <v>330</v>
      </c>
      <c r="F13" s="881"/>
      <c r="G13" s="880" t="s">
        <v>493</v>
      </c>
      <c r="H13" s="881"/>
    </row>
    <row r="14" spans="1:9" ht="15.5" x14ac:dyDescent="0.3">
      <c r="A14" s="872" t="s">
        <v>331</v>
      </c>
      <c r="B14" s="872"/>
      <c r="C14" s="873">
        <f>'Sots.majanduslik moju'!X36</f>
        <v>140.48400000000001</v>
      </c>
      <c r="D14" s="874"/>
      <c r="E14" s="878">
        <f>'Sots.majanduslik moju'!Y36</f>
        <v>382.53600000000006</v>
      </c>
      <c r="F14" s="879"/>
      <c r="G14" s="878">
        <f>'Sots.majanduslik moju'!Z36</f>
        <v>688.61999999999989</v>
      </c>
      <c r="H14" s="879"/>
    </row>
    <row r="15" spans="1:9" ht="34.5" customHeight="1" x14ac:dyDescent="0.3">
      <c r="A15" s="872" t="s">
        <v>332</v>
      </c>
      <c r="B15" s="872"/>
      <c r="C15" s="880"/>
      <c r="D15" s="881"/>
      <c r="E15" s="880"/>
      <c r="F15" s="881"/>
      <c r="G15" s="880"/>
      <c r="H15" s="881"/>
    </row>
    <row r="16" spans="1:9" ht="15.5" x14ac:dyDescent="0.3">
      <c r="A16" s="875" t="s">
        <v>333</v>
      </c>
      <c r="B16" s="875"/>
      <c r="C16" s="876">
        <f>'Sots.majanduslik moju'!X31/1000000</f>
        <v>2.3994122128703999</v>
      </c>
      <c r="D16" s="877"/>
      <c r="E16" s="876">
        <f>('Sots.majanduslik moju'!Y31)/1000000</f>
        <v>16.306589945018882</v>
      </c>
      <c r="F16" s="877">
        <v>0</v>
      </c>
      <c r="G16" s="876">
        <f>('Sots.majanduslik moju'!Z31)/1000000</f>
        <v>36.815572801463048</v>
      </c>
      <c r="H16" s="877">
        <v>0</v>
      </c>
    </row>
    <row r="17" spans="1:9" ht="15.5" x14ac:dyDescent="0.3">
      <c r="A17" s="875" t="s">
        <v>334</v>
      </c>
      <c r="B17" s="875"/>
      <c r="C17" s="876">
        <f>('Sots.majanduslik moju'!X32)/1000000</f>
        <v>1.0638187222924798</v>
      </c>
      <c r="D17" s="877">
        <v>0</v>
      </c>
      <c r="E17" s="876">
        <f>('Sots.majanduslik moju'!Y32)/1000000</f>
        <v>8.0181001935682552</v>
      </c>
      <c r="F17" s="877">
        <v>0</v>
      </c>
      <c r="G17" s="876">
        <f>('Sots.majanduslik moju'!Z32)/1000000</f>
        <v>18.760134087560445</v>
      </c>
      <c r="H17" s="877">
        <v>0</v>
      </c>
    </row>
    <row r="18" spans="1:9" ht="15.5" x14ac:dyDescent="0.3">
      <c r="A18" s="875" t="s">
        <v>335</v>
      </c>
      <c r="B18" s="875"/>
      <c r="C18" s="876">
        <f>('Sots.majanduslik moju'!X34)/1000000</f>
        <v>2.8707592400690847</v>
      </c>
      <c r="D18" s="877">
        <v>0</v>
      </c>
      <c r="E18" s="876">
        <f>('Sots.majanduslik moju'!Y34)/1000000</f>
        <v>16.025776856649394</v>
      </c>
      <c r="F18" s="877">
        <v>0</v>
      </c>
      <c r="G18" s="876">
        <f>('Sots.majanduslik moju'!Z34)/1000000</f>
        <v>34.123127230857804</v>
      </c>
      <c r="H18" s="877">
        <v>0</v>
      </c>
    </row>
    <row r="19" spans="1:9" ht="31.5" customHeight="1" x14ac:dyDescent="0.3">
      <c r="A19" s="875" t="s">
        <v>336</v>
      </c>
      <c r="B19" s="875"/>
      <c r="C19" s="876">
        <f>('Sots.majanduslik moju'!X33)/1000000</f>
        <v>0.56176629156910074</v>
      </c>
      <c r="D19" s="877">
        <v>0</v>
      </c>
      <c r="E19" s="876">
        <f>('Sots.majanduslik moju'!Y33)/1000000</f>
        <v>4.2190861380536786</v>
      </c>
      <c r="F19" s="877">
        <v>0</v>
      </c>
      <c r="G19" s="876">
        <f>('Sots.majanduslik moju'!Z33)/1000000</f>
        <v>9.8684194177577531</v>
      </c>
      <c r="H19" s="877">
        <v>0</v>
      </c>
    </row>
    <row r="20" spans="1:9" ht="33.75" customHeight="1" x14ac:dyDescent="0.3">
      <c r="A20" s="872" t="s">
        <v>340</v>
      </c>
      <c r="B20" s="872"/>
      <c r="C20" s="873">
        <f>('Sots.majanduslik moju'!X45)/1000000</f>
        <v>32.76</v>
      </c>
      <c r="D20" s="874">
        <v>0</v>
      </c>
      <c r="E20" s="873">
        <f>('Sots.majanduslik moju'!Y45)/1000000</f>
        <v>182.88</v>
      </c>
      <c r="F20" s="874">
        <v>0</v>
      </c>
      <c r="G20" s="873">
        <f>('Sots.majanduslik moju'!Z45)/1000000</f>
        <v>389.4</v>
      </c>
      <c r="H20" s="874">
        <v>0</v>
      </c>
    </row>
    <row r="21" spans="1:9" ht="24" customHeight="1" x14ac:dyDescent="0.3">
      <c r="A21" s="872" t="s">
        <v>337</v>
      </c>
      <c r="B21" s="872"/>
      <c r="C21" s="873">
        <f>('Sots.majanduslik moju'!X46)/1000000</f>
        <v>20.411999999999999</v>
      </c>
      <c r="D21" s="874">
        <v>0</v>
      </c>
      <c r="E21" s="873">
        <f>('Sots.majanduslik moju'!Y46)/1000000</f>
        <v>139.15199999999999</v>
      </c>
      <c r="F21" s="874">
        <v>0</v>
      </c>
      <c r="G21" s="873">
        <f>('Sots.majanduslik moju'!Z46)/1000000</f>
        <v>314.22000000000003</v>
      </c>
      <c r="H21" s="874">
        <v>0</v>
      </c>
    </row>
    <row r="22" spans="1:9" ht="20.25" customHeight="1" x14ac:dyDescent="0.3">
      <c r="A22" s="872" t="s">
        <v>338</v>
      </c>
      <c r="B22" s="872"/>
      <c r="C22" s="873">
        <f>('Sots.majanduslik moju'!X47)/1000000</f>
        <v>11.961496833621185</v>
      </c>
      <c r="D22" s="874">
        <v>0</v>
      </c>
      <c r="E22" s="873">
        <f>('Sots.majanduslik moju'!Y47)/1000000</f>
        <v>66.774070236039151</v>
      </c>
      <c r="F22" s="874">
        <v>0</v>
      </c>
      <c r="G22" s="873">
        <f>('Sots.majanduslik moju'!Z47)/1000000</f>
        <v>142.17969679524083</v>
      </c>
      <c r="H22" s="874">
        <v>0</v>
      </c>
    </row>
    <row r="27" spans="1:9" ht="33.75" customHeight="1" x14ac:dyDescent="0.3">
      <c r="A27" s="724" t="s">
        <v>514</v>
      </c>
      <c r="B27" s="722" t="s">
        <v>509</v>
      </c>
      <c r="C27" s="722" t="s">
        <v>510</v>
      </c>
      <c r="D27" s="722" t="s">
        <v>511</v>
      </c>
    </row>
    <row r="28" spans="1:9" x14ac:dyDescent="0.3">
      <c r="A28" s="724" t="s">
        <v>515</v>
      </c>
      <c r="B28" s="723">
        <f>Tulud25!N34</f>
        <v>0.72840307840307839</v>
      </c>
      <c r="C28" s="723">
        <f>Tulud50!N34</f>
        <v>0.79562289562289568</v>
      </c>
      <c r="D28" s="723">
        <f>Tulud75!N34</f>
        <v>0.86284271284271274</v>
      </c>
    </row>
    <row r="30" spans="1:9" ht="15.5" x14ac:dyDescent="0.3">
      <c r="D30" s="870"/>
      <c r="E30" s="871"/>
      <c r="F30" s="871"/>
      <c r="G30" s="871"/>
      <c r="H30" s="871"/>
      <c r="I30" s="871"/>
    </row>
    <row r="33" spans="1:13" ht="20.25" customHeight="1" x14ac:dyDescent="0.3">
      <c r="A33" s="869"/>
      <c r="B33" s="869"/>
      <c r="C33" s="869"/>
      <c r="D33" s="869" t="s">
        <v>516</v>
      </c>
      <c r="E33" s="869"/>
      <c r="F33" s="869"/>
      <c r="G33" s="869"/>
      <c r="H33" s="869"/>
      <c r="I33" s="869"/>
    </row>
    <row r="34" spans="1:13" ht="16.5" customHeight="1" x14ac:dyDescent="0.3">
      <c r="A34" s="869"/>
      <c r="B34" s="869"/>
      <c r="C34" s="869"/>
      <c r="D34" s="869" t="s">
        <v>518</v>
      </c>
      <c r="E34" s="869"/>
      <c r="F34" s="869" t="s">
        <v>519</v>
      </c>
      <c r="G34" s="869"/>
      <c r="H34" s="869" t="s">
        <v>520</v>
      </c>
      <c r="I34" s="869"/>
    </row>
    <row r="35" spans="1:13" ht="15.5" x14ac:dyDescent="0.3">
      <c r="A35" s="869"/>
      <c r="B35" s="869"/>
      <c r="C35" s="869"/>
      <c r="D35" s="867">
        <f>B28</f>
        <v>0.72840307840307839</v>
      </c>
      <c r="E35" s="867"/>
      <c r="F35" s="867">
        <f>C28</f>
        <v>0.79562289562289568</v>
      </c>
      <c r="G35" s="867"/>
      <c r="H35" s="867">
        <f>D28</f>
        <v>0.86284271284271274</v>
      </c>
      <c r="I35" s="867"/>
    </row>
    <row r="36" spans="1:13" ht="15.5" x14ac:dyDescent="0.3">
      <c r="A36" s="868" t="s">
        <v>517</v>
      </c>
      <c r="B36" s="868"/>
      <c r="C36" s="868"/>
      <c r="D36" s="866">
        <f>'2. Tulud-kulud projektiga'!G53</f>
        <v>110316.87282873367</v>
      </c>
      <c r="E36" s="866"/>
      <c r="F36" s="866">
        <f>'2. Tulud-kulud projektiga'!K53</f>
        <v>148080.71235951933</v>
      </c>
      <c r="G36" s="866"/>
      <c r="H36" s="866">
        <f>'2. Tulud-kulud projektiga'!O53</f>
        <v>185873.75086925525</v>
      </c>
      <c r="I36" s="866"/>
      <c r="K36" s="543">
        <f>Tulud25!H33</f>
        <v>90296.7</v>
      </c>
      <c r="L36" s="543">
        <f>Tulud50!H33</f>
        <v>126040.2</v>
      </c>
      <c r="M36" s="543">
        <f>Tulud75!H33</f>
        <v>161783.70000000001</v>
      </c>
    </row>
    <row r="37" spans="1:13" ht="32.25" customHeight="1" x14ac:dyDescent="0.3">
      <c r="A37" s="868" t="s">
        <v>521</v>
      </c>
      <c r="B37" s="868"/>
      <c r="C37" s="868"/>
      <c r="D37" s="866">
        <f>'2. Tulud-kulud projektiga'!G118</f>
        <v>155681.8631056</v>
      </c>
      <c r="E37" s="866"/>
      <c r="F37" s="866">
        <f>'2. Tulud-kulud projektiga'!K118</f>
        <v>155802.19376560001</v>
      </c>
      <c r="G37" s="866"/>
      <c r="H37" s="866">
        <f>'2. Tulud-kulud projektiga'!O118</f>
        <v>151253.98842559999</v>
      </c>
      <c r="I37" s="866"/>
      <c r="K37" s="727">
        <f>K36/D36</f>
        <v>0.81852120790429872</v>
      </c>
      <c r="L37" s="727">
        <f>L36/F36</f>
        <v>0.85115879030884156</v>
      </c>
      <c r="M37" s="727">
        <f>M36/H36</f>
        <v>0.87039562737290255</v>
      </c>
    </row>
    <row r="38" spans="1:13" ht="15.5" x14ac:dyDescent="0.3">
      <c r="A38" s="868" t="s">
        <v>522</v>
      </c>
      <c r="B38" s="868"/>
      <c r="C38" s="868"/>
      <c r="D38" s="866">
        <f>D36-D37</f>
        <v>-45364.990276866331</v>
      </c>
      <c r="E38" s="866"/>
      <c r="F38" s="866">
        <f t="shared" ref="F38" si="0">F36-F37</f>
        <v>-7721.4814060806821</v>
      </c>
      <c r="G38" s="866"/>
      <c r="H38" s="866">
        <f t="shared" ref="H38" si="1">H36-H37</f>
        <v>34619.762443655258</v>
      </c>
      <c r="I38" s="866"/>
    </row>
    <row r="39" spans="1:13" ht="15.5" x14ac:dyDescent="0.3">
      <c r="A39" s="868" t="s">
        <v>523</v>
      </c>
      <c r="B39" s="868"/>
      <c r="C39" s="868"/>
      <c r="D39" s="866">
        <f>D38-Kulud25!E69</f>
        <v>-286976.27796917403</v>
      </c>
      <c r="E39" s="866"/>
      <c r="F39" s="866">
        <f>F38-Kulud50!E69</f>
        <v>-249332.76909838838</v>
      </c>
      <c r="G39" s="866"/>
      <c r="H39" s="866">
        <f>H38-Kulud25!E69</f>
        <v>-206991.52524865244</v>
      </c>
      <c r="I39" s="866"/>
    </row>
  </sheetData>
  <mergeCells count="71">
    <mergeCell ref="A6:B6"/>
    <mergeCell ref="C2:D3"/>
    <mergeCell ref="A2:B3"/>
    <mergeCell ref="A4:B4"/>
    <mergeCell ref="A5:B5"/>
    <mergeCell ref="A7:B7"/>
    <mergeCell ref="C12:H12"/>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2:B22"/>
    <mergeCell ref="C22:D22"/>
    <mergeCell ref="E22:F22"/>
    <mergeCell ref="G22:H22"/>
    <mergeCell ref="A20:B20"/>
    <mergeCell ref="C20:D20"/>
    <mergeCell ref="E20:F20"/>
    <mergeCell ref="G20:H20"/>
    <mergeCell ref="A21:B21"/>
    <mergeCell ref="C21:D21"/>
    <mergeCell ref="E21:F21"/>
    <mergeCell ref="G21:H21"/>
    <mergeCell ref="D30:I30"/>
    <mergeCell ref="D33:I33"/>
    <mergeCell ref="D34:E34"/>
    <mergeCell ref="F34:G34"/>
    <mergeCell ref="H34:I34"/>
    <mergeCell ref="A36:C36"/>
    <mergeCell ref="A37:C37"/>
    <mergeCell ref="A38:C38"/>
    <mergeCell ref="A39:C39"/>
    <mergeCell ref="D35:E35"/>
    <mergeCell ref="D36:E36"/>
    <mergeCell ref="D37:E37"/>
    <mergeCell ref="D38:E38"/>
    <mergeCell ref="D39:E39"/>
    <mergeCell ref="A33:C35"/>
    <mergeCell ref="F38:G38"/>
    <mergeCell ref="F39:G39"/>
    <mergeCell ref="H35:I35"/>
    <mergeCell ref="H36:I36"/>
    <mergeCell ref="H37:I37"/>
    <mergeCell ref="H38:I38"/>
    <mergeCell ref="H39:I39"/>
    <mergeCell ref="F35:G35"/>
    <mergeCell ref="F36:G36"/>
    <mergeCell ref="F37:G37"/>
  </mergeCells>
  <conditionalFormatting sqref="F6:F7">
    <cfRule type="cellIs" dxfId="0"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59"/>
  <sheetViews>
    <sheetView zoomScaleNormal="72" workbookViewId="0">
      <selection activeCell="E21" sqref="E21"/>
    </sheetView>
  </sheetViews>
  <sheetFormatPr defaultColWidth="9.1796875" defaultRowHeight="14.5" outlineLevelCol="1" x14ac:dyDescent="0.35"/>
  <cols>
    <col min="1" max="1" width="16.1796875" style="70" customWidth="1"/>
    <col min="2" max="2" width="29.1796875" style="71" customWidth="1"/>
    <col min="3" max="3" width="6.81640625" style="1" customWidth="1"/>
    <col min="4" max="4" width="0.6328125" style="1" customWidth="1"/>
    <col min="5" max="6" width="12.36328125" style="1" customWidth="1"/>
    <col min="7" max="9" width="12.36328125" style="1" customWidth="1" outlineLevel="1"/>
    <col min="10" max="10" width="16.453125" style="2" customWidth="1"/>
    <col min="11" max="11" width="12.81640625" style="1" bestFit="1" customWidth="1"/>
    <col min="12" max="12" width="13" style="1" customWidth="1"/>
    <col min="13" max="13" width="14.36328125" style="70" customWidth="1"/>
    <col min="14" max="14" width="14" style="70" customWidth="1"/>
    <col min="15" max="15" width="15.36328125" style="70" customWidth="1"/>
    <col min="16" max="16384" width="9.1796875" style="70"/>
  </cols>
  <sheetData>
    <row r="1" spans="1:15" ht="25.5" customHeight="1" x14ac:dyDescent="0.35">
      <c r="A1" s="98" t="s">
        <v>68</v>
      </c>
      <c r="D1" s="767" t="s">
        <v>69</v>
      </c>
      <c r="E1" s="767"/>
      <c r="F1" s="767"/>
      <c r="G1" s="767"/>
      <c r="H1" s="767"/>
      <c r="I1" s="767"/>
      <c r="L1" s="130" t="s">
        <v>163</v>
      </c>
      <c r="M1" s="1"/>
      <c r="N1" s="1"/>
      <c r="O1" s="1"/>
    </row>
    <row r="2" spans="1:15" ht="42" customHeight="1" x14ac:dyDescent="0.35">
      <c r="A2" s="82"/>
      <c r="B2" s="88"/>
      <c r="C2" s="75" t="s">
        <v>2</v>
      </c>
      <c r="D2" s="83">
        <f>Esileht!B10-1</f>
        <v>2024</v>
      </c>
      <c r="E2" s="83">
        <f>D2+1</f>
        <v>2025</v>
      </c>
      <c r="F2" s="83">
        <f t="shared" ref="F2:I2" si="0">E2+1</f>
        <v>2026</v>
      </c>
      <c r="G2" s="83">
        <f t="shared" si="0"/>
        <v>2027</v>
      </c>
      <c r="H2" s="83">
        <f t="shared" si="0"/>
        <v>2028</v>
      </c>
      <c r="I2" s="83">
        <f t="shared" si="0"/>
        <v>2029</v>
      </c>
      <c r="J2" s="83" t="s">
        <v>65</v>
      </c>
      <c r="L2" s="99" t="s">
        <v>63</v>
      </c>
      <c r="M2" s="131" t="s">
        <v>103</v>
      </c>
      <c r="N2" s="131" t="s">
        <v>104</v>
      </c>
      <c r="O2" s="131" t="s">
        <v>164</v>
      </c>
    </row>
    <row r="3" spans="1:15" ht="3.75" customHeight="1" x14ac:dyDescent="0.35">
      <c r="A3" s="84"/>
      <c r="B3" s="89"/>
      <c r="C3" s="85"/>
      <c r="D3" s="86"/>
      <c r="E3" s="86"/>
      <c r="F3" s="86"/>
      <c r="G3" s="86"/>
      <c r="H3" s="86"/>
      <c r="I3" s="86"/>
      <c r="J3" s="87"/>
      <c r="L3" s="91"/>
      <c r="M3" s="74"/>
      <c r="N3" s="74"/>
      <c r="O3" s="134"/>
    </row>
    <row r="4" spans="1:15" ht="21" customHeight="1" x14ac:dyDescent="0.35">
      <c r="A4" s="760" t="s">
        <v>114</v>
      </c>
      <c r="B4" s="761"/>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762" t="s">
        <v>244</v>
      </c>
      <c r="B6" s="763"/>
      <c r="C6" s="76" t="s">
        <v>3</v>
      </c>
      <c r="D6" s="92"/>
      <c r="E6" s="92">
        <v>163732</v>
      </c>
      <c r="F6" s="92"/>
      <c r="G6" s="92"/>
      <c r="H6" s="92"/>
      <c r="I6" s="92"/>
      <c r="J6" s="93">
        <f>SUM(D6:I6)</f>
        <v>163732</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46.5" customHeight="1" x14ac:dyDescent="0.35">
      <c r="A8" s="764" t="s">
        <v>243</v>
      </c>
      <c r="B8" s="358" t="s">
        <v>550</v>
      </c>
      <c r="C8" s="76" t="s">
        <v>3</v>
      </c>
      <c r="D8" s="92"/>
      <c r="E8" s="729">
        <v>4139267.5</v>
      </c>
      <c r="F8" s="92"/>
      <c r="G8" s="92"/>
      <c r="H8" s="92"/>
      <c r="I8" s="92"/>
      <c r="J8" s="93">
        <f>SUM(D8:I8)</f>
        <v>4139267.5</v>
      </c>
      <c r="K8" s="731"/>
      <c r="L8" s="72">
        <v>25</v>
      </c>
      <c r="M8" s="72" t="s">
        <v>105</v>
      </c>
      <c r="N8" s="72">
        <v>2025</v>
      </c>
      <c r="O8" s="132">
        <f>IF(M8=$M$48,N8+L8-1,N8+L8)</f>
        <v>2049</v>
      </c>
    </row>
    <row r="9" spans="1:15" ht="18.75" customHeight="1" x14ac:dyDescent="0.35">
      <c r="A9" s="764"/>
      <c r="B9" s="358" t="s">
        <v>245</v>
      </c>
      <c r="C9" s="76" t="s">
        <v>3</v>
      </c>
      <c r="D9" s="92"/>
      <c r="E9" s="728"/>
      <c r="F9" s="92">
        <v>903387</v>
      </c>
      <c r="G9" s="92"/>
      <c r="H9" s="92"/>
      <c r="I9" s="92"/>
      <c r="J9" s="93">
        <f t="shared" ref="J9:J12" si="2">SUM(D9:I9)</f>
        <v>903387</v>
      </c>
      <c r="L9" s="72">
        <v>13</v>
      </c>
      <c r="M9" s="72" t="s">
        <v>105</v>
      </c>
      <c r="N9" s="72">
        <v>2025</v>
      </c>
      <c r="O9" s="132">
        <f>IF(M9=$M$48,N9+L9-1,N9+L9)</f>
        <v>2037</v>
      </c>
    </row>
    <row r="10" spans="1:15" ht="42.75" hidden="1" customHeight="1" x14ac:dyDescent="0.35">
      <c r="A10" s="764"/>
      <c r="B10" s="358"/>
      <c r="C10" s="76" t="s">
        <v>3</v>
      </c>
      <c r="D10" s="92"/>
      <c r="E10" s="92"/>
      <c r="F10" s="92"/>
      <c r="G10" s="92"/>
      <c r="H10" s="92"/>
      <c r="I10" s="92"/>
      <c r="J10" s="93">
        <f t="shared" si="2"/>
        <v>0</v>
      </c>
      <c r="L10" s="72"/>
      <c r="M10" s="72"/>
      <c r="N10" s="72"/>
      <c r="O10" s="132">
        <f>IF(M10=$M$48,N10+L10-1,N10+L10)</f>
        <v>0</v>
      </c>
    </row>
    <row r="11" spans="1:15" ht="64.5" hidden="1" customHeight="1" x14ac:dyDescent="0.35">
      <c r="A11" s="764"/>
      <c r="B11" s="360"/>
      <c r="C11" s="76" t="s">
        <v>3</v>
      </c>
      <c r="D11" s="92"/>
      <c r="E11" s="92"/>
      <c r="F11" s="92"/>
      <c r="G11" s="92"/>
      <c r="H11" s="92"/>
      <c r="I11" s="92"/>
      <c r="J11" s="93">
        <f t="shared" si="2"/>
        <v>0</v>
      </c>
      <c r="L11" s="72"/>
      <c r="M11" s="72"/>
      <c r="N11" s="72"/>
      <c r="O11" s="132">
        <f>IF(M11=$M$48,N11+L11-1,N11+L11)</f>
        <v>0</v>
      </c>
    </row>
    <row r="12" spans="1:15" ht="36.75" hidden="1" customHeight="1" x14ac:dyDescent="0.35">
      <c r="A12" s="764"/>
      <c r="B12" s="360"/>
      <c r="C12" s="76" t="s">
        <v>3</v>
      </c>
      <c r="D12" s="92"/>
      <c r="E12" s="92"/>
      <c r="F12" s="92"/>
      <c r="G12" s="92"/>
      <c r="H12" s="92"/>
      <c r="I12" s="92"/>
      <c r="J12" s="93">
        <f t="shared" si="2"/>
        <v>0</v>
      </c>
      <c r="L12" s="72"/>
      <c r="M12" s="72"/>
      <c r="N12" s="72"/>
      <c r="O12" s="132">
        <f>IF(M12=$M$48,N12+L12-1,N12+L12)</f>
        <v>0</v>
      </c>
    </row>
    <row r="13" spans="1:15" ht="18" customHeight="1" x14ac:dyDescent="0.35">
      <c r="A13" s="765" t="s">
        <v>139</v>
      </c>
      <c r="B13" s="765"/>
      <c r="C13" s="77" t="s">
        <v>3</v>
      </c>
      <c r="D13" s="93">
        <f t="shared" ref="D13:I13" si="3">SUBTOTAL(9,D8:D12)</f>
        <v>0</v>
      </c>
      <c r="E13" s="93">
        <f t="shared" si="3"/>
        <v>4139267.5</v>
      </c>
      <c r="F13" s="93">
        <f t="shared" si="3"/>
        <v>903387</v>
      </c>
      <c r="G13" s="93">
        <f t="shared" si="3"/>
        <v>0</v>
      </c>
      <c r="H13" s="93">
        <f t="shared" si="3"/>
        <v>0</v>
      </c>
      <c r="I13" s="93">
        <f t="shared" si="3"/>
        <v>0</v>
      </c>
      <c r="J13" s="93">
        <f t="shared" ref="J13" si="4">SUM(D13:I13)</f>
        <v>5042654.5</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hidden="1" customHeight="1" x14ac:dyDescent="0.35">
      <c r="A15" s="755"/>
      <c r="B15" s="756"/>
      <c r="C15" s="76" t="s">
        <v>3</v>
      </c>
      <c r="D15" s="92"/>
      <c r="E15" s="92"/>
      <c r="F15" s="92"/>
      <c r="G15" s="92"/>
      <c r="H15" s="92"/>
      <c r="I15" s="92"/>
      <c r="J15" s="93">
        <f>SUM(D15:I15)</f>
        <v>0</v>
      </c>
      <c r="L15" s="72"/>
      <c r="M15" s="72"/>
      <c r="N15" s="72"/>
      <c r="O15" s="132">
        <f>IF(M15=$M$48,N15+L15-1,N15+L15)</f>
        <v>0</v>
      </c>
    </row>
    <row r="16" spans="1:15" ht="3.75" hidden="1" customHeight="1" x14ac:dyDescent="0.35">
      <c r="A16" s="73"/>
      <c r="B16" s="90"/>
      <c r="C16" s="74"/>
      <c r="D16" s="94"/>
      <c r="E16" s="94"/>
      <c r="F16" s="94"/>
      <c r="G16" s="94"/>
      <c r="H16" s="94"/>
      <c r="I16" s="94"/>
      <c r="J16" s="96"/>
      <c r="L16" s="4"/>
      <c r="M16" s="74"/>
      <c r="N16" s="74"/>
      <c r="O16" s="134"/>
    </row>
    <row r="17" spans="1:15" ht="32.25" customHeight="1" x14ac:dyDescent="0.35">
      <c r="A17" s="762" t="s">
        <v>246</v>
      </c>
      <c r="B17" s="763"/>
      <c r="C17" s="76" t="s">
        <v>3</v>
      </c>
      <c r="D17" s="92"/>
      <c r="E17" s="92"/>
      <c r="F17" s="92">
        <v>2000</v>
      </c>
      <c r="G17" s="92"/>
      <c r="H17" s="92"/>
      <c r="I17" s="92"/>
      <c r="J17" s="93">
        <f>SUM(D17:I17)</f>
        <v>2000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758" t="s">
        <v>64</v>
      </c>
      <c r="B19" s="759"/>
      <c r="C19" s="79" t="s">
        <v>3</v>
      </c>
      <c r="D19" s="97">
        <f t="shared" ref="D19:I19" si="5">SUBTOTAL(9,D4:D17)</f>
        <v>0</v>
      </c>
      <c r="E19" s="97">
        <f>SUBTOTAL(9,E4:E17)</f>
        <v>4302999.5</v>
      </c>
      <c r="F19" s="97">
        <f t="shared" si="5"/>
        <v>905387</v>
      </c>
      <c r="G19" s="97">
        <f t="shared" si="5"/>
        <v>0</v>
      </c>
      <c r="H19" s="97">
        <f t="shared" si="5"/>
        <v>0</v>
      </c>
      <c r="I19" s="97">
        <f t="shared" si="5"/>
        <v>0</v>
      </c>
      <c r="J19" s="97">
        <f>SUM(D19:I19)</f>
        <v>5208386.5</v>
      </c>
      <c r="K19" s="80"/>
      <c r="L19" s="752" t="s">
        <v>113</v>
      </c>
      <c r="M19" s="753"/>
      <c r="N19" s="754"/>
      <c r="O19" s="133">
        <f>MAX(O5:O17)</f>
        <v>2049</v>
      </c>
    </row>
    <row r="20" spans="1:15" ht="3.75" customHeight="1" x14ac:dyDescent="0.35">
      <c r="A20" s="73"/>
      <c r="B20" s="90"/>
      <c r="C20" s="74"/>
      <c r="D20" s="18"/>
      <c r="E20" s="18"/>
      <c r="F20" s="18"/>
      <c r="G20" s="18"/>
      <c r="H20" s="18"/>
      <c r="I20" s="18"/>
      <c r="J20" s="78"/>
      <c r="L20" s="4"/>
      <c r="M20" s="74"/>
      <c r="N20" s="74"/>
      <c r="O20" s="134"/>
    </row>
    <row r="21" spans="1:15" ht="28.5" customHeight="1" x14ac:dyDescent="0.35">
      <c r="A21" s="23"/>
      <c r="L21" s="766" t="s">
        <v>165</v>
      </c>
      <c r="M21" s="766"/>
      <c r="N21" s="766"/>
      <c r="O21" s="72">
        <f>IF(O19&lt;=Esileht!B11,0,O19-Esileht!B11)</f>
        <v>10</v>
      </c>
    </row>
    <row r="22" spans="1:15" ht="8.25" customHeight="1" x14ac:dyDescent="0.35">
      <c r="A22" s="1"/>
    </row>
    <row r="23" spans="1:15" ht="22.5" customHeight="1" x14ac:dyDescent="0.35">
      <c r="A23" s="98" t="s">
        <v>67</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65</v>
      </c>
    </row>
    <row r="25" spans="1:15" ht="3.75" customHeight="1" x14ac:dyDescent="0.35">
      <c r="A25" s="84"/>
      <c r="B25" s="89"/>
      <c r="C25" s="85"/>
      <c r="D25" s="86"/>
      <c r="E25" s="86"/>
      <c r="F25" s="86"/>
      <c r="G25" s="86"/>
      <c r="H25" s="86"/>
      <c r="I25" s="86"/>
      <c r="J25" s="87"/>
    </row>
    <row r="26" spans="1:15" ht="21" customHeight="1" x14ac:dyDescent="0.35">
      <c r="A26" s="760" t="s">
        <v>114</v>
      </c>
      <c r="B26" s="761"/>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762" t="s">
        <v>115</v>
      </c>
      <c r="B28" s="763"/>
      <c r="C28" s="76" t="s">
        <v>3</v>
      </c>
      <c r="D28" s="92">
        <f>D6</f>
        <v>0</v>
      </c>
      <c r="E28" s="92">
        <f>SUM(E6)</f>
        <v>163732</v>
      </c>
      <c r="F28" s="92"/>
      <c r="G28" s="92"/>
      <c r="H28" s="92"/>
      <c r="I28" s="92"/>
      <c r="J28" s="93">
        <f>SUM(D28:I28)</f>
        <v>163732</v>
      </c>
    </row>
    <row r="29" spans="1:15" ht="3.75" customHeight="1" x14ac:dyDescent="0.35">
      <c r="A29" s="73"/>
      <c r="B29" s="90"/>
      <c r="C29" s="74"/>
      <c r="D29" s="94"/>
      <c r="E29" s="94"/>
      <c r="F29" s="94"/>
      <c r="G29" s="94"/>
      <c r="H29" s="94"/>
      <c r="I29" s="94"/>
      <c r="J29" s="95"/>
    </row>
    <row r="30" spans="1:15" ht="30.75" customHeight="1" x14ac:dyDescent="0.35">
      <c r="A30" s="764" t="str">
        <f>A8</f>
        <v>3. Ehitamine</v>
      </c>
      <c r="B30" s="135" t="str">
        <f>B8</f>
        <v>3.1. Inkubaatori  ehitamise kulud, sh omanikujärelevalve teenus ja projekti ekspertiis</v>
      </c>
      <c r="C30" s="76" t="s">
        <v>3</v>
      </c>
      <c r="D30" s="92"/>
      <c r="E30" s="92">
        <f>E8</f>
        <v>4139267.5</v>
      </c>
      <c r="F30" s="92"/>
      <c r="G30" s="92"/>
      <c r="H30" s="92"/>
      <c r="I30" s="92"/>
      <c r="J30" s="93">
        <f>SUM(D30:I30)</f>
        <v>4139267.5</v>
      </c>
    </row>
    <row r="31" spans="1:15" ht="18.75" customHeight="1" x14ac:dyDescent="0.35">
      <c r="A31" s="764"/>
      <c r="B31" s="135" t="str">
        <f>B9</f>
        <v>3.2. Seadmete ostmise kulud</v>
      </c>
      <c r="C31" s="76" t="s">
        <v>3</v>
      </c>
      <c r="D31" s="92"/>
      <c r="E31" s="92">
        <f>E9</f>
        <v>0</v>
      </c>
      <c r="F31" s="92">
        <f>F9</f>
        <v>903387</v>
      </c>
      <c r="G31" s="92"/>
      <c r="H31" s="92"/>
      <c r="I31" s="92"/>
      <c r="J31" s="93">
        <f t="shared" ref="J31:J34" si="11">SUM(D31:I31)</f>
        <v>903387</v>
      </c>
    </row>
    <row r="32" spans="1:15" ht="40.5" hidden="1" customHeight="1" x14ac:dyDescent="0.35">
      <c r="A32" s="764"/>
      <c r="B32" s="135"/>
      <c r="C32" s="76" t="s">
        <v>3</v>
      </c>
      <c r="D32" s="92"/>
      <c r="E32" s="92"/>
      <c r="F32" s="92"/>
      <c r="G32" s="92"/>
      <c r="H32" s="92"/>
      <c r="I32" s="92"/>
      <c r="J32" s="93">
        <f t="shared" si="11"/>
        <v>0</v>
      </c>
    </row>
    <row r="33" spans="1:16" ht="62.25" hidden="1" customHeight="1" x14ac:dyDescent="0.35">
      <c r="A33" s="764"/>
      <c r="B33" s="135">
        <f>B11</f>
        <v>0</v>
      </c>
      <c r="C33" s="76" t="s">
        <v>3</v>
      </c>
      <c r="D33" s="92"/>
      <c r="E33" s="92"/>
      <c r="F33" s="92"/>
      <c r="G33" s="92"/>
      <c r="H33" s="92"/>
      <c r="I33" s="92"/>
      <c r="J33" s="93">
        <f t="shared" si="11"/>
        <v>0</v>
      </c>
    </row>
    <row r="34" spans="1:16" ht="15" hidden="1" customHeight="1" x14ac:dyDescent="0.35">
      <c r="A34" s="764"/>
      <c r="B34" s="135">
        <f>B12</f>
        <v>0</v>
      </c>
      <c r="C34" s="76" t="s">
        <v>3</v>
      </c>
      <c r="D34" s="92"/>
      <c r="E34" s="92"/>
      <c r="F34" s="92"/>
      <c r="G34" s="92"/>
      <c r="H34" s="92"/>
      <c r="I34" s="92"/>
      <c r="J34" s="93">
        <f t="shared" si="11"/>
        <v>0</v>
      </c>
    </row>
    <row r="35" spans="1:16" ht="16.5" customHeight="1" x14ac:dyDescent="0.35">
      <c r="A35" s="765" t="str">
        <f>A13</f>
        <v>3. Inkubaatori või tootearenduskeskuse arendamise kulud kokku</v>
      </c>
      <c r="B35" s="765"/>
      <c r="C35" s="77" t="s">
        <v>3</v>
      </c>
      <c r="D35" s="93">
        <f t="shared" ref="D35:I35" si="12">SUBTOTAL(9,D30:D34)</f>
        <v>0</v>
      </c>
      <c r="E35" s="93">
        <f t="shared" si="12"/>
        <v>4139267.5</v>
      </c>
      <c r="F35" s="93">
        <f t="shared" si="12"/>
        <v>903387</v>
      </c>
      <c r="G35" s="93">
        <f t="shared" si="12"/>
        <v>0</v>
      </c>
      <c r="H35" s="93">
        <f t="shared" si="12"/>
        <v>0</v>
      </c>
      <c r="I35" s="93">
        <f t="shared" si="12"/>
        <v>0</v>
      </c>
      <c r="J35" s="93">
        <f t="shared" ref="J35" si="13">SUM(D35:I35)</f>
        <v>5042654.5</v>
      </c>
      <c r="O35" s="700"/>
      <c r="P35" s="700"/>
    </row>
    <row r="36" spans="1:16" ht="3.75" customHeight="1" x14ac:dyDescent="0.35">
      <c r="A36" s="73"/>
      <c r="B36" s="90"/>
      <c r="C36" s="74"/>
      <c r="D36" s="94"/>
      <c r="E36" s="94"/>
      <c r="F36" s="94"/>
      <c r="G36" s="94"/>
      <c r="H36" s="94"/>
      <c r="I36" s="94"/>
      <c r="J36" s="95"/>
      <c r="O36" s="700"/>
      <c r="P36" s="700"/>
    </row>
    <row r="37" spans="1:16" ht="21" hidden="1" customHeight="1" x14ac:dyDescent="0.35">
      <c r="A37" s="762">
        <f>A15</f>
        <v>0</v>
      </c>
      <c r="B37" s="763"/>
      <c r="C37" s="76" t="s">
        <v>3</v>
      </c>
      <c r="D37" s="92"/>
      <c r="E37" s="92"/>
      <c r="F37" s="92"/>
      <c r="G37" s="92"/>
      <c r="H37" s="92"/>
      <c r="I37" s="92"/>
      <c r="J37" s="93">
        <f>SUM(D37:I37)</f>
        <v>0</v>
      </c>
      <c r="O37" s="700"/>
      <c r="P37" s="700"/>
    </row>
    <row r="38" spans="1:16" ht="3.75" hidden="1" customHeight="1" x14ac:dyDescent="0.35">
      <c r="A38" s="73"/>
      <c r="B38" s="90"/>
      <c r="C38" s="74"/>
      <c r="D38" s="94"/>
      <c r="E38" s="94"/>
      <c r="F38" s="94"/>
      <c r="G38" s="94"/>
      <c r="H38" s="94"/>
      <c r="I38" s="94"/>
      <c r="J38" s="96"/>
      <c r="O38" s="700"/>
      <c r="P38" s="700"/>
    </row>
    <row r="39" spans="1:16" ht="34.5" customHeight="1" x14ac:dyDescent="0.35">
      <c r="A39" s="762" t="str">
        <f>A17</f>
        <v>4. Struktuuritoetuse andmisest avalikkuse teavitamine</v>
      </c>
      <c r="B39" s="763"/>
      <c r="C39" s="76" t="s">
        <v>3</v>
      </c>
      <c r="D39" s="92"/>
      <c r="E39" s="92"/>
      <c r="F39" s="92">
        <f>F17</f>
        <v>2000</v>
      </c>
      <c r="G39" s="92"/>
      <c r="H39" s="92"/>
      <c r="I39" s="92"/>
      <c r="J39" s="93">
        <f>SUM(D39:I39)</f>
        <v>2000</v>
      </c>
      <c r="O39" s="700"/>
      <c r="P39" s="700"/>
    </row>
    <row r="40" spans="1:16" ht="3.75" customHeight="1" x14ac:dyDescent="0.35">
      <c r="A40" s="73"/>
      <c r="B40" s="90"/>
      <c r="C40" s="74"/>
      <c r="D40" s="94"/>
      <c r="E40" s="94"/>
      <c r="F40" s="94"/>
      <c r="G40" s="94"/>
      <c r="H40" s="94"/>
      <c r="I40" s="94"/>
      <c r="J40" s="96"/>
    </row>
    <row r="41" spans="1:16" ht="19.5" customHeight="1" x14ac:dyDescent="0.35">
      <c r="A41" s="758" t="s">
        <v>66</v>
      </c>
      <c r="B41" s="759"/>
      <c r="C41" s="79" t="s">
        <v>3</v>
      </c>
      <c r="D41" s="97">
        <f t="shared" ref="D41:I41" si="14">SUBTOTAL(9,D26:D39)</f>
        <v>0</v>
      </c>
      <c r="E41" s="97">
        <f t="shared" si="14"/>
        <v>4302999.5</v>
      </c>
      <c r="F41" s="97">
        <f t="shared" si="14"/>
        <v>905387</v>
      </c>
      <c r="G41" s="97">
        <f t="shared" si="14"/>
        <v>0</v>
      </c>
      <c r="H41" s="97">
        <f t="shared" si="14"/>
        <v>0</v>
      </c>
      <c r="I41" s="97">
        <f t="shared" si="14"/>
        <v>0</v>
      </c>
      <c r="J41" s="97">
        <f>SUM(D41:I41)</f>
        <v>5208386.5</v>
      </c>
      <c r="K41" s="136">
        <f>IF(J19&gt;0,J41/J19,"")</f>
        <v>1</v>
      </c>
    </row>
    <row r="42" spans="1:16" ht="3.75" customHeight="1" x14ac:dyDescent="0.35">
      <c r="A42" s="73"/>
      <c r="B42" s="90"/>
      <c r="C42" s="74"/>
      <c r="D42" s="18"/>
      <c r="E42" s="18"/>
      <c r="F42" s="18"/>
      <c r="G42" s="18"/>
      <c r="H42" s="18"/>
      <c r="I42" s="18"/>
      <c r="J42" s="78"/>
    </row>
    <row r="43" spans="1:16" x14ac:dyDescent="0.35">
      <c r="A43" s="23"/>
      <c r="K43" s="100"/>
    </row>
    <row r="44" spans="1:16" ht="19.5" customHeight="1" x14ac:dyDescent="0.35">
      <c r="A44" s="757" t="s">
        <v>72</v>
      </c>
      <c r="B44" s="757"/>
      <c r="C44" s="76" t="s">
        <v>3</v>
      </c>
      <c r="D44" s="118">
        <f t="shared" ref="D44:I44" si="15">D19-D41</f>
        <v>0</v>
      </c>
      <c r="E44" s="118">
        <f t="shared" si="15"/>
        <v>0</v>
      </c>
      <c r="F44" s="118">
        <f t="shared" si="15"/>
        <v>0</v>
      </c>
      <c r="G44" s="118">
        <f t="shared" si="15"/>
        <v>0</v>
      </c>
      <c r="H44" s="118">
        <f t="shared" si="15"/>
        <v>0</v>
      </c>
      <c r="I44" s="118">
        <f t="shared" si="15"/>
        <v>0</v>
      </c>
      <c r="J44" s="119">
        <f>SUM(D44:I44)</f>
        <v>0</v>
      </c>
      <c r="K44" s="137">
        <f>IF(J19&gt;0,J44/J19,"")</f>
        <v>0</v>
      </c>
    </row>
    <row r="48" spans="1:16" hidden="1" x14ac:dyDescent="0.35">
      <c r="M48" s="103" t="s">
        <v>105</v>
      </c>
    </row>
    <row r="49" spans="13:13" hidden="1" x14ac:dyDescent="0.35">
      <c r="M49" s="103" t="s">
        <v>106</v>
      </c>
    </row>
    <row r="50" spans="13:13" hidden="1" x14ac:dyDescent="0.35">
      <c r="M50" s="103" t="s">
        <v>4</v>
      </c>
    </row>
    <row r="51" spans="13:13" hidden="1" x14ac:dyDescent="0.35">
      <c r="M51" s="103" t="s">
        <v>107</v>
      </c>
    </row>
    <row r="52" spans="13:13" hidden="1" x14ac:dyDescent="0.35">
      <c r="M52" s="103" t="s">
        <v>5</v>
      </c>
    </row>
    <row r="53" spans="13:13" hidden="1" x14ac:dyDescent="0.35">
      <c r="M53" s="103" t="s">
        <v>6</v>
      </c>
    </row>
    <row r="54" spans="13:13" hidden="1" x14ac:dyDescent="0.35">
      <c r="M54" s="103" t="s">
        <v>7</v>
      </c>
    </row>
    <row r="55" spans="13:13" hidden="1" x14ac:dyDescent="0.35">
      <c r="M55" s="103" t="s">
        <v>108</v>
      </c>
    </row>
    <row r="56" spans="13:13" hidden="1" x14ac:dyDescent="0.35">
      <c r="M56" s="103" t="s">
        <v>109</v>
      </c>
    </row>
    <row r="57" spans="13:13" hidden="1" x14ac:dyDescent="0.35">
      <c r="M57" s="103" t="s">
        <v>110</v>
      </c>
    </row>
    <row r="58" spans="13:13" hidden="1" x14ac:dyDescent="0.35">
      <c r="M58" s="103" t="s">
        <v>111</v>
      </c>
    </row>
    <row r="59" spans="13:13" hidden="1" x14ac:dyDescent="0.35">
      <c r="M59" s="103" t="s">
        <v>112</v>
      </c>
    </row>
  </sheetData>
  <mergeCells count="18">
    <mergeCell ref="A13:B13"/>
    <mergeCell ref="D1:I1"/>
    <mergeCell ref="A8:A12"/>
    <mergeCell ref="A4:B4"/>
    <mergeCell ref="A6:B6"/>
    <mergeCell ref="L19:N19"/>
    <mergeCell ref="A15:B15"/>
    <mergeCell ref="A44:B44"/>
    <mergeCell ref="A19:B19"/>
    <mergeCell ref="A26:B26"/>
    <mergeCell ref="A37:B37"/>
    <mergeCell ref="A39:B39"/>
    <mergeCell ref="A41:B41"/>
    <mergeCell ref="A17:B17"/>
    <mergeCell ref="A28:B28"/>
    <mergeCell ref="A30:A34"/>
    <mergeCell ref="A35:B35"/>
    <mergeCell ref="L21:N21"/>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V588"/>
  <sheetViews>
    <sheetView zoomScale="84" zoomScaleNormal="84" workbookViewId="0">
      <pane xSplit="3" ySplit="3" topLeftCell="E53" activePane="bottomRight" state="frozen"/>
      <selection pane="topRight" activeCell="D1" sqref="D1"/>
      <selection pane="bottomLeft" activeCell="A4" sqref="A4"/>
      <selection pane="bottomRight" activeCell="G84" sqref="G84"/>
    </sheetView>
  </sheetViews>
  <sheetFormatPr defaultColWidth="9.1796875" defaultRowHeight="14.5" outlineLevelRow="1" x14ac:dyDescent="0.35"/>
  <cols>
    <col min="1" max="1" width="20.453125" style="147" customWidth="1"/>
    <col min="2" max="2" width="19.453125" style="146" customWidth="1"/>
    <col min="3" max="3" width="7.453125" style="147" customWidth="1"/>
    <col min="4" max="4" width="10.36328125" style="147" hidden="1" customWidth="1"/>
    <col min="5" max="19" width="10.36328125" style="147" customWidth="1"/>
    <col min="20" max="16384" width="9.1796875" style="147"/>
  </cols>
  <sheetData>
    <row r="1" spans="1:20" ht="22.5" customHeight="1" x14ac:dyDescent="0.35">
      <c r="A1" s="145" t="s">
        <v>141</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1"/>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S3" si="2">Q3+1</f>
        <v>2038</v>
      </c>
      <c r="S3" s="156">
        <f t="shared" si="2"/>
        <v>2039</v>
      </c>
      <c r="T3" s="150"/>
    </row>
    <row r="4" spans="1:20" ht="4.5" customHeight="1" x14ac:dyDescent="0.35">
      <c r="A4" s="157"/>
      <c r="B4" s="158"/>
      <c r="C4" s="159"/>
      <c r="D4" s="161"/>
      <c r="E4" s="161"/>
      <c r="F4" s="161"/>
      <c r="G4" s="161"/>
      <c r="H4" s="161"/>
      <c r="I4" s="161"/>
      <c r="J4" s="161"/>
      <c r="K4" s="161"/>
      <c r="L4" s="161"/>
      <c r="M4" s="161"/>
      <c r="N4" s="161"/>
      <c r="O4" s="161"/>
      <c r="P4" s="161"/>
      <c r="Q4" s="161"/>
      <c r="R4" s="162"/>
      <c r="S4" s="162"/>
      <c r="T4" s="163"/>
    </row>
    <row r="5" spans="1:20" ht="18" customHeight="1" x14ac:dyDescent="0.35">
      <c r="A5" s="164" t="s">
        <v>32</v>
      </c>
      <c r="B5" s="165"/>
      <c r="C5" s="166" t="s">
        <v>2</v>
      </c>
      <c r="D5" s="168"/>
      <c r="E5" s="168"/>
      <c r="F5" s="716"/>
      <c r="G5" s="168"/>
      <c r="H5" s="168"/>
      <c r="I5" s="168"/>
      <c r="J5" s="168"/>
      <c r="K5" s="168"/>
      <c r="L5" s="168"/>
      <c r="M5" s="168"/>
      <c r="N5" s="168"/>
      <c r="O5" s="168"/>
      <c r="P5" s="168"/>
      <c r="Q5" s="168"/>
      <c r="R5" s="169"/>
      <c r="S5" s="169"/>
      <c r="T5" s="163"/>
    </row>
    <row r="6" spans="1:20" ht="4.5" customHeight="1" x14ac:dyDescent="0.35">
      <c r="A6" s="157"/>
      <c r="B6" s="158"/>
      <c r="C6" s="160"/>
      <c r="D6" s="160"/>
      <c r="E6" s="160"/>
      <c r="F6" s="160"/>
      <c r="G6" s="160"/>
      <c r="H6" s="160"/>
      <c r="I6" s="160"/>
      <c r="J6" s="160"/>
      <c r="K6" s="160"/>
      <c r="L6" s="160"/>
      <c r="M6" s="160"/>
      <c r="N6" s="160"/>
      <c r="O6" s="160"/>
      <c r="P6" s="160"/>
      <c r="Q6" s="160"/>
      <c r="R6" s="170"/>
      <c r="S6" s="170"/>
      <c r="T6" s="163"/>
    </row>
    <row r="7" spans="1:20" ht="15.75" customHeight="1" x14ac:dyDescent="0.35">
      <c r="A7" s="780" t="s">
        <v>525</v>
      </c>
      <c r="B7" s="171" t="s">
        <v>344</v>
      </c>
      <c r="C7" s="172" t="s">
        <v>529</v>
      </c>
      <c r="D7" s="173"/>
      <c r="E7" s="173"/>
      <c r="F7" s="173">
        <f>Tulud25!N8</f>
        <v>132.5</v>
      </c>
      <c r="G7" s="173">
        <f>F7</f>
        <v>132.5</v>
      </c>
      <c r="H7" s="173">
        <f>G7</f>
        <v>132.5</v>
      </c>
      <c r="I7" s="173">
        <f>Tulud50!N8</f>
        <v>132.5</v>
      </c>
      <c r="J7" s="173">
        <f>I7</f>
        <v>132.5</v>
      </c>
      <c r="K7" s="173">
        <f t="shared" ref="K7:L7" si="3">J7</f>
        <v>132.5</v>
      </c>
      <c r="L7" s="173">
        <f t="shared" si="3"/>
        <v>132.5</v>
      </c>
      <c r="M7" s="173">
        <f>Tulud75!N8</f>
        <v>132.5</v>
      </c>
      <c r="N7" s="173">
        <f>M7</f>
        <v>132.5</v>
      </c>
      <c r="O7" s="173">
        <f t="shared" ref="O7:S8" si="4">N7</f>
        <v>132.5</v>
      </c>
      <c r="P7" s="173">
        <f t="shared" si="4"/>
        <v>132.5</v>
      </c>
      <c r="Q7" s="173">
        <f t="shared" si="4"/>
        <v>132.5</v>
      </c>
      <c r="R7" s="173">
        <f t="shared" si="4"/>
        <v>132.5</v>
      </c>
      <c r="S7" s="173">
        <f t="shared" si="4"/>
        <v>132.5</v>
      </c>
      <c r="T7" s="163"/>
    </row>
    <row r="8" spans="1:20" ht="15.75" customHeight="1" x14ac:dyDescent="0.35">
      <c r="A8" s="780"/>
      <c r="B8" s="171" t="s">
        <v>0</v>
      </c>
      <c r="C8" s="172" t="s">
        <v>530</v>
      </c>
      <c r="D8" s="173"/>
      <c r="E8" s="173"/>
      <c r="F8" s="173">
        <f>Tulud25!E8*4</f>
        <v>20</v>
      </c>
      <c r="G8" s="173">
        <f>Tulud25!E8*12</f>
        <v>60</v>
      </c>
      <c r="H8" s="173">
        <f t="shared" ref="H8:L8" si="5">G8</f>
        <v>60</v>
      </c>
      <c r="I8" s="173">
        <f>H8</f>
        <v>60</v>
      </c>
      <c r="J8" s="173">
        <f t="shared" si="5"/>
        <v>60</v>
      </c>
      <c r="K8" s="173">
        <f t="shared" si="5"/>
        <v>60</v>
      </c>
      <c r="L8" s="173">
        <f t="shared" si="5"/>
        <v>60</v>
      </c>
      <c r="M8" s="173">
        <f t="shared" ref="M8" si="6">L8</f>
        <v>60</v>
      </c>
      <c r="N8" s="173">
        <f t="shared" ref="N8" si="7">M8</f>
        <v>60</v>
      </c>
      <c r="O8" s="173">
        <f t="shared" si="4"/>
        <v>60</v>
      </c>
      <c r="P8" s="173">
        <f t="shared" si="4"/>
        <v>60</v>
      </c>
      <c r="Q8" s="173">
        <f t="shared" si="4"/>
        <v>60</v>
      </c>
      <c r="R8" s="173">
        <f t="shared" si="4"/>
        <v>60</v>
      </c>
      <c r="S8" s="173">
        <f t="shared" si="4"/>
        <v>60</v>
      </c>
      <c r="T8" s="163"/>
    </row>
    <row r="9" spans="1:20" ht="15.75" customHeight="1" x14ac:dyDescent="0.35">
      <c r="A9" s="780"/>
      <c r="B9" s="175" t="s">
        <v>1</v>
      </c>
      <c r="C9" s="176" t="s">
        <v>3</v>
      </c>
      <c r="D9" s="174">
        <f t="shared" ref="D9:L9" si="8">D7*D8</f>
        <v>0</v>
      </c>
      <c r="E9" s="174">
        <f t="shared" si="8"/>
        <v>0</v>
      </c>
      <c r="F9" s="174">
        <f t="shared" si="8"/>
        <v>2650</v>
      </c>
      <c r="G9" s="174">
        <f>G7*G8</f>
        <v>7950</v>
      </c>
      <c r="H9" s="174">
        <f t="shared" si="8"/>
        <v>7950</v>
      </c>
      <c r="I9" s="174">
        <f t="shared" si="8"/>
        <v>7950</v>
      </c>
      <c r="J9" s="174">
        <f t="shared" si="8"/>
        <v>7950</v>
      </c>
      <c r="K9" s="174">
        <f t="shared" si="8"/>
        <v>7950</v>
      </c>
      <c r="L9" s="174">
        <f t="shared" si="8"/>
        <v>7950</v>
      </c>
      <c r="M9" s="174">
        <f t="shared" ref="M9" si="9">M7*M8</f>
        <v>7950</v>
      </c>
      <c r="N9" s="174">
        <f t="shared" ref="N9" si="10">N7*N8</f>
        <v>7950</v>
      </c>
      <c r="O9" s="174">
        <f t="shared" ref="O9" si="11">O7*O8</f>
        <v>7950</v>
      </c>
      <c r="P9" s="174">
        <f t="shared" ref="P9" si="12">P7*P8</f>
        <v>7950</v>
      </c>
      <c r="Q9" s="174">
        <f t="shared" ref="Q9" si="13">Q7*Q8</f>
        <v>7950</v>
      </c>
      <c r="R9" s="174">
        <f t="shared" ref="R9:S9" si="14">R7*R8</f>
        <v>7950</v>
      </c>
      <c r="S9" s="174">
        <f t="shared" si="14"/>
        <v>7950</v>
      </c>
      <c r="T9" s="163"/>
    </row>
    <row r="10" spans="1:20" ht="4.5" customHeight="1" x14ac:dyDescent="0.35">
      <c r="A10" s="177"/>
      <c r="B10" s="178"/>
      <c r="C10" s="179"/>
      <c r="D10" s="179"/>
      <c r="E10" s="179"/>
      <c r="F10" s="179"/>
      <c r="G10" s="179"/>
      <c r="H10" s="179"/>
      <c r="I10" s="179"/>
      <c r="J10" s="179"/>
      <c r="K10" s="179"/>
      <c r="L10" s="179"/>
      <c r="M10" s="179"/>
      <c r="N10" s="179"/>
      <c r="O10" s="179"/>
      <c r="P10" s="179"/>
      <c r="Q10" s="179"/>
      <c r="R10" s="180"/>
      <c r="S10" s="180"/>
      <c r="T10" s="163"/>
    </row>
    <row r="11" spans="1:20" ht="15.5" x14ac:dyDescent="0.35">
      <c r="A11" s="780" t="s">
        <v>540</v>
      </c>
      <c r="B11" s="171" t="s">
        <v>344</v>
      </c>
      <c r="C11" s="172" t="s">
        <v>529</v>
      </c>
      <c r="D11" s="173"/>
      <c r="E11" s="173"/>
      <c r="F11" s="173">
        <f>Tulud25!N11</f>
        <v>273.39999999999998</v>
      </c>
      <c r="G11" s="173">
        <f>F11</f>
        <v>273.39999999999998</v>
      </c>
      <c r="H11" s="173">
        <f>G11</f>
        <v>273.39999999999998</v>
      </c>
      <c r="I11" s="173">
        <f>Tulud50!N11</f>
        <v>273.39999999999998</v>
      </c>
      <c r="J11" s="173">
        <f>I11</f>
        <v>273.39999999999998</v>
      </c>
      <c r="K11" s="173">
        <f t="shared" ref="K11:L12" si="15">J11</f>
        <v>273.39999999999998</v>
      </c>
      <c r="L11" s="173">
        <f t="shared" si="15"/>
        <v>273.39999999999998</v>
      </c>
      <c r="M11" s="173">
        <f>Tulud75!N11</f>
        <v>273.39999999999998</v>
      </c>
      <c r="N11" s="173">
        <f>M11</f>
        <v>273.39999999999998</v>
      </c>
      <c r="O11" s="173">
        <f t="shared" ref="O11:S12" si="16">N11</f>
        <v>273.39999999999998</v>
      </c>
      <c r="P11" s="173">
        <f t="shared" si="16"/>
        <v>273.39999999999998</v>
      </c>
      <c r="Q11" s="173">
        <f t="shared" si="16"/>
        <v>273.39999999999998</v>
      </c>
      <c r="R11" s="173">
        <f t="shared" si="16"/>
        <v>273.39999999999998</v>
      </c>
      <c r="S11" s="173">
        <f t="shared" si="16"/>
        <v>273.39999999999998</v>
      </c>
      <c r="T11" s="163"/>
    </row>
    <row r="12" spans="1:20" x14ac:dyDescent="0.35">
      <c r="A12" s="780"/>
      <c r="B12" s="171" t="s">
        <v>0</v>
      </c>
      <c r="C12" s="172" t="s">
        <v>530</v>
      </c>
      <c r="D12" s="173"/>
      <c r="E12" s="173"/>
      <c r="F12" s="173">
        <f>Tulud25!E11*4</f>
        <v>28</v>
      </c>
      <c r="G12" s="173">
        <f>Tulud25!E11*12</f>
        <v>84</v>
      </c>
      <c r="H12" s="173">
        <f t="shared" ref="H12" si="17">G12</f>
        <v>84</v>
      </c>
      <c r="I12" s="173">
        <f t="shared" ref="I12" si="18">H12</f>
        <v>84</v>
      </c>
      <c r="J12" s="173">
        <f t="shared" ref="J12" si="19">I12</f>
        <v>84</v>
      </c>
      <c r="K12" s="173">
        <f t="shared" si="15"/>
        <v>84</v>
      </c>
      <c r="L12" s="173">
        <f t="shared" si="15"/>
        <v>84</v>
      </c>
      <c r="M12" s="173">
        <f t="shared" ref="M12" si="20">L12</f>
        <v>84</v>
      </c>
      <c r="N12" s="173">
        <f t="shared" ref="N12" si="21">M12</f>
        <v>84</v>
      </c>
      <c r="O12" s="173">
        <f t="shared" si="16"/>
        <v>84</v>
      </c>
      <c r="P12" s="173">
        <f t="shared" si="16"/>
        <v>84</v>
      </c>
      <c r="Q12" s="173">
        <f t="shared" si="16"/>
        <v>84</v>
      </c>
      <c r="R12" s="173">
        <f t="shared" si="16"/>
        <v>84</v>
      </c>
      <c r="S12" s="173">
        <f t="shared" si="16"/>
        <v>84</v>
      </c>
      <c r="T12" s="163"/>
    </row>
    <row r="13" spans="1:20" x14ac:dyDescent="0.35">
      <c r="A13" s="780"/>
      <c r="B13" s="175" t="s">
        <v>1</v>
      </c>
      <c r="C13" s="176" t="s">
        <v>3</v>
      </c>
      <c r="D13" s="174">
        <f t="shared" ref="D13:L13" si="22">D11*D12</f>
        <v>0</v>
      </c>
      <c r="E13" s="174">
        <f t="shared" si="22"/>
        <v>0</v>
      </c>
      <c r="F13" s="174">
        <f t="shared" si="22"/>
        <v>7655.1999999999989</v>
      </c>
      <c r="G13" s="174">
        <f t="shared" si="22"/>
        <v>22965.599999999999</v>
      </c>
      <c r="H13" s="174">
        <f t="shared" si="22"/>
        <v>22965.599999999999</v>
      </c>
      <c r="I13" s="174">
        <f t="shared" si="22"/>
        <v>22965.599999999999</v>
      </c>
      <c r="J13" s="174">
        <f t="shared" si="22"/>
        <v>22965.599999999999</v>
      </c>
      <c r="K13" s="174">
        <f t="shared" si="22"/>
        <v>22965.599999999999</v>
      </c>
      <c r="L13" s="174">
        <f t="shared" si="22"/>
        <v>22965.599999999999</v>
      </c>
      <c r="M13" s="174">
        <f t="shared" ref="M13" si="23">M11*M12</f>
        <v>22965.599999999999</v>
      </c>
      <c r="N13" s="174">
        <f t="shared" ref="N13" si="24">N11*N12</f>
        <v>22965.599999999999</v>
      </c>
      <c r="O13" s="174">
        <f t="shared" ref="O13" si="25">O11*O12</f>
        <v>22965.599999999999</v>
      </c>
      <c r="P13" s="174">
        <f t="shared" ref="P13" si="26">P11*P12</f>
        <v>22965.599999999999</v>
      </c>
      <c r="Q13" s="174">
        <f t="shared" ref="Q13" si="27">Q11*Q12</f>
        <v>22965.599999999999</v>
      </c>
      <c r="R13" s="174">
        <f t="shared" ref="R13:S13" si="28">R11*R12</f>
        <v>22965.599999999999</v>
      </c>
      <c r="S13" s="174">
        <f t="shared" si="28"/>
        <v>22965.599999999999</v>
      </c>
      <c r="T13" s="163"/>
    </row>
    <row r="14" spans="1:20" ht="4.5" customHeight="1" x14ac:dyDescent="0.35">
      <c r="A14" s="177"/>
      <c r="B14" s="178"/>
      <c r="C14" s="179"/>
      <c r="D14" s="179"/>
      <c r="E14" s="179"/>
      <c r="F14" s="179"/>
      <c r="G14" s="179"/>
      <c r="H14" s="179"/>
      <c r="I14" s="179"/>
      <c r="J14" s="179"/>
      <c r="K14" s="179"/>
      <c r="L14" s="179"/>
      <c r="M14" s="179"/>
      <c r="N14" s="179"/>
      <c r="O14" s="179"/>
      <c r="P14" s="179"/>
      <c r="Q14" s="179"/>
      <c r="R14" s="180"/>
      <c r="S14" s="180"/>
      <c r="T14" s="163"/>
    </row>
    <row r="15" spans="1:20" ht="15.5" x14ac:dyDescent="0.35">
      <c r="A15" s="780" t="s">
        <v>539</v>
      </c>
      <c r="B15" s="171" t="s">
        <v>51</v>
      </c>
      <c r="C15" s="172" t="s">
        <v>529</v>
      </c>
      <c r="D15" s="173"/>
      <c r="E15" s="173"/>
      <c r="F15" s="173">
        <f>Tulud25!N13</f>
        <v>26.4</v>
      </c>
      <c r="G15" s="173">
        <f>F15</f>
        <v>26.4</v>
      </c>
      <c r="H15" s="173">
        <f>G15</f>
        <v>26.4</v>
      </c>
      <c r="I15" s="173">
        <f>Tulud50!N13</f>
        <v>52.8</v>
      </c>
      <c r="J15" s="173">
        <f>I15</f>
        <v>52.8</v>
      </c>
      <c r="K15" s="173">
        <f t="shared" ref="K15:L15" si="29">J15</f>
        <v>52.8</v>
      </c>
      <c r="L15" s="173">
        <f t="shared" si="29"/>
        <v>52.8</v>
      </c>
      <c r="M15" s="173">
        <f>Tulud75!N13</f>
        <v>79.199999999999989</v>
      </c>
      <c r="N15" s="173">
        <f>M15</f>
        <v>79.199999999999989</v>
      </c>
      <c r="O15" s="173">
        <f t="shared" ref="O15:S15" si="30">N15</f>
        <v>79.199999999999989</v>
      </c>
      <c r="P15" s="173">
        <f t="shared" si="30"/>
        <v>79.199999999999989</v>
      </c>
      <c r="Q15" s="173">
        <f t="shared" si="30"/>
        <v>79.199999999999989</v>
      </c>
      <c r="R15" s="173">
        <f t="shared" si="30"/>
        <v>79.199999999999989</v>
      </c>
      <c r="S15" s="173">
        <f t="shared" si="30"/>
        <v>79.199999999999989</v>
      </c>
      <c r="T15" s="163"/>
    </row>
    <row r="16" spans="1:20" x14ac:dyDescent="0.35">
      <c r="A16" s="780"/>
      <c r="B16" s="171" t="s">
        <v>0</v>
      </c>
      <c r="C16" s="172" t="s">
        <v>530</v>
      </c>
      <c r="D16" s="173"/>
      <c r="E16" s="173"/>
      <c r="F16" s="173">
        <f>Tulud25!E13*4</f>
        <v>60</v>
      </c>
      <c r="G16" s="173">
        <f>Tulud25!E13*12</f>
        <v>180</v>
      </c>
      <c r="H16" s="173">
        <f t="shared" ref="H16:S16" si="31">G16</f>
        <v>180</v>
      </c>
      <c r="I16" s="173">
        <f t="shared" si="31"/>
        <v>180</v>
      </c>
      <c r="J16" s="173">
        <f t="shared" si="31"/>
        <v>180</v>
      </c>
      <c r="K16" s="173">
        <f t="shared" si="31"/>
        <v>180</v>
      </c>
      <c r="L16" s="173">
        <f t="shared" si="31"/>
        <v>180</v>
      </c>
      <c r="M16" s="173">
        <f t="shared" si="31"/>
        <v>180</v>
      </c>
      <c r="N16" s="173">
        <f t="shared" si="31"/>
        <v>180</v>
      </c>
      <c r="O16" s="173">
        <f t="shared" si="31"/>
        <v>180</v>
      </c>
      <c r="P16" s="173">
        <f t="shared" si="31"/>
        <v>180</v>
      </c>
      <c r="Q16" s="173">
        <f t="shared" si="31"/>
        <v>180</v>
      </c>
      <c r="R16" s="173">
        <f t="shared" si="31"/>
        <v>180</v>
      </c>
      <c r="S16" s="173">
        <f t="shared" si="31"/>
        <v>180</v>
      </c>
      <c r="T16" s="163"/>
    </row>
    <row r="17" spans="1:20" x14ac:dyDescent="0.35">
      <c r="A17" s="780"/>
      <c r="B17" s="175" t="s">
        <v>1</v>
      </c>
      <c r="C17" s="176" t="s">
        <v>3</v>
      </c>
      <c r="D17" s="174">
        <f t="shared" ref="D17:L17" si="32">D15*D16</f>
        <v>0</v>
      </c>
      <c r="E17" s="174">
        <f t="shared" si="32"/>
        <v>0</v>
      </c>
      <c r="F17" s="174">
        <f t="shared" si="32"/>
        <v>1584</v>
      </c>
      <c r="G17" s="174">
        <f t="shared" si="32"/>
        <v>4752</v>
      </c>
      <c r="H17" s="174">
        <f t="shared" si="32"/>
        <v>4752</v>
      </c>
      <c r="I17" s="174">
        <f t="shared" si="32"/>
        <v>9504</v>
      </c>
      <c r="J17" s="174">
        <f t="shared" si="32"/>
        <v>9504</v>
      </c>
      <c r="K17" s="174">
        <f t="shared" si="32"/>
        <v>9504</v>
      </c>
      <c r="L17" s="174">
        <f t="shared" si="32"/>
        <v>9504</v>
      </c>
      <c r="M17" s="174">
        <f t="shared" ref="M17" si="33">M15*M16</f>
        <v>14255.999999999998</v>
      </c>
      <c r="N17" s="174">
        <f t="shared" ref="N17" si="34">N15*N16</f>
        <v>14255.999999999998</v>
      </c>
      <c r="O17" s="174">
        <f t="shared" ref="O17" si="35">O15*O16</f>
        <v>14255.999999999998</v>
      </c>
      <c r="P17" s="174">
        <f t="shared" ref="P17" si="36">P15*P16</f>
        <v>14255.999999999998</v>
      </c>
      <c r="Q17" s="174">
        <f t="shared" ref="Q17" si="37">Q15*Q16</f>
        <v>14255.999999999998</v>
      </c>
      <c r="R17" s="174">
        <f t="shared" ref="R17:S17" si="38">R15*R16</f>
        <v>14255.999999999998</v>
      </c>
      <c r="S17" s="174">
        <f t="shared" si="38"/>
        <v>14255.999999999998</v>
      </c>
      <c r="T17" s="163"/>
    </row>
    <row r="18" spans="1:20" ht="4.5" customHeight="1" x14ac:dyDescent="0.35">
      <c r="A18" s="177"/>
      <c r="B18" s="178"/>
      <c r="C18" s="179"/>
      <c r="D18" s="179"/>
      <c r="E18" s="179"/>
      <c r="F18" s="179"/>
      <c r="G18" s="179"/>
      <c r="H18" s="179"/>
      <c r="I18" s="179"/>
      <c r="J18" s="179"/>
      <c r="K18" s="179"/>
      <c r="L18" s="179"/>
      <c r="M18" s="179"/>
      <c r="N18" s="179"/>
      <c r="O18" s="179"/>
      <c r="P18" s="179"/>
      <c r="Q18" s="179"/>
      <c r="R18" s="180"/>
      <c r="S18" s="180"/>
      <c r="T18" s="163"/>
    </row>
    <row r="19" spans="1:20" x14ac:dyDescent="0.35">
      <c r="A19" s="780" t="s">
        <v>526</v>
      </c>
      <c r="B19" s="171" t="s">
        <v>52</v>
      </c>
      <c r="C19" s="172" t="s">
        <v>531</v>
      </c>
      <c r="D19" s="173"/>
      <c r="E19" s="173"/>
      <c r="F19" s="173">
        <f>Tulud25!R14</f>
        <v>3</v>
      </c>
      <c r="G19" s="173">
        <f>F19</f>
        <v>3</v>
      </c>
      <c r="H19" s="173">
        <f>G19</f>
        <v>3</v>
      </c>
      <c r="I19" s="173">
        <f>Tulud50!R14</f>
        <v>6</v>
      </c>
      <c r="J19" s="173">
        <f>I19</f>
        <v>6</v>
      </c>
      <c r="K19" s="173">
        <f t="shared" ref="K19:L19" si="39">J19</f>
        <v>6</v>
      </c>
      <c r="L19" s="173">
        <f t="shared" si="39"/>
        <v>6</v>
      </c>
      <c r="M19" s="173">
        <f>Tulud75!R14</f>
        <v>9</v>
      </c>
      <c r="N19" s="173">
        <f>M19</f>
        <v>9</v>
      </c>
      <c r="O19" s="173">
        <f t="shared" ref="O19:S19" si="40">N19</f>
        <v>9</v>
      </c>
      <c r="P19" s="173">
        <f t="shared" si="40"/>
        <v>9</v>
      </c>
      <c r="Q19" s="173">
        <f t="shared" si="40"/>
        <v>9</v>
      </c>
      <c r="R19" s="173">
        <f t="shared" si="40"/>
        <v>9</v>
      </c>
      <c r="S19" s="173">
        <f t="shared" si="40"/>
        <v>9</v>
      </c>
      <c r="T19" s="163"/>
    </row>
    <row r="20" spans="1:20" x14ac:dyDescent="0.35">
      <c r="A20" s="780"/>
      <c r="B20" s="171" t="s">
        <v>0</v>
      </c>
      <c r="C20" s="172" t="s">
        <v>532</v>
      </c>
      <c r="D20" s="173"/>
      <c r="E20" s="173"/>
      <c r="F20" s="173">
        <f>Tulud25!E14*21*4</f>
        <v>1260</v>
      </c>
      <c r="G20" s="173">
        <f>Tulud25!E14*21*12</f>
        <v>3780</v>
      </c>
      <c r="H20" s="173">
        <f t="shared" ref="H20:S20" si="41">G20</f>
        <v>3780</v>
      </c>
      <c r="I20" s="173">
        <f t="shared" si="41"/>
        <v>3780</v>
      </c>
      <c r="J20" s="173">
        <f t="shared" si="41"/>
        <v>3780</v>
      </c>
      <c r="K20" s="173">
        <f t="shared" si="41"/>
        <v>3780</v>
      </c>
      <c r="L20" s="173">
        <f t="shared" si="41"/>
        <v>3780</v>
      </c>
      <c r="M20" s="173">
        <f t="shared" si="41"/>
        <v>3780</v>
      </c>
      <c r="N20" s="173">
        <f t="shared" si="41"/>
        <v>3780</v>
      </c>
      <c r="O20" s="173">
        <f t="shared" si="41"/>
        <v>3780</v>
      </c>
      <c r="P20" s="173">
        <f t="shared" si="41"/>
        <v>3780</v>
      </c>
      <c r="Q20" s="173">
        <f t="shared" si="41"/>
        <v>3780</v>
      </c>
      <c r="R20" s="173">
        <f t="shared" si="41"/>
        <v>3780</v>
      </c>
      <c r="S20" s="173">
        <f t="shared" si="41"/>
        <v>3780</v>
      </c>
      <c r="T20" s="163"/>
    </row>
    <row r="21" spans="1:20" x14ac:dyDescent="0.35">
      <c r="A21" s="780"/>
      <c r="B21" s="175" t="s">
        <v>1</v>
      </c>
      <c r="C21" s="176" t="s">
        <v>3</v>
      </c>
      <c r="D21" s="174">
        <f t="shared" ref="D21:L21" si="42">D19*D20</f>
        <v>0</v>
      </c>
      <c r="E21" s="174">
        <f t="shared" si="42"/>
        <v>0</v>
      </c>
      <c r="F21" s="174">
        <f t="shared" si="42"/>
        <v>3780</v>
      </c>
      <c r="G21" s="174">
        <f t="shared" si="42"/>
        <v>11340</v>
      </c>
      <c r="H21" s="174">
        <f t="shared" si="42"/>
        <v>11340</v>
      </c>
      <c r="I21" s="174">
        <f t="shared" si="42"/>
        <v>22680</v>
      </c>
      <c r="J21" s="174">
        <f t="shared" si="42"/>
        <v>22680</v>
      </c>
      <c r="K21" s="174">
        <f t="shared" si="42"/>
        <v>22680</v>
      </c>
      <c r="L21" s="174">
        <f t="shared" si="42"/>
        <v>22680</v>
      </c>
      <c r="M21" s="174">
        <f t="shared" ref="M21" si="43">M19*M20</f>
        <v>34020</v>
      </c>
      <c r="N21" s="174">
        <f t="shared" ref="N21" si="44">N19*N20</f>
        <v>34020</v>
      </c>
      <c r="O21" s="174">
        <f t="shared" ref="O21" si="45">O19*O20</f>
        <v>34020</v>
      </c>
      <c r="P21" s="174">
        <f t="shared" ref="P21" si="46">P19*P20</f>
        <v>34020</v>
      </c>
      <c r="Q21" s="174">
        <f t="shared" ref="Q21" si="47">Q19*Q20</f>
        <v>34020</v>
      </c>
      <c r="R21" s="174">
        <f t="shared" ref="R21:S21" si="48">R19*R20</f>
        <v>34020</v>
      </c>
      <c r="S21" s="174">
        <f t="shared" si="48"/>
        <v>34020</v>
      </c>
      <c r="T21" s="163"/>
    </row>
    <row r="22" spans="1:20" ht="4.5" customHeight="1" x14ac:dyDescent="0.35">
      <c r="A22" s="177"/>
      <c r="B22" s="178"/>
      <c r="C22" s="179"/>
      <c r="D22" s="179"/>
      <c r="E22" s="179"/>
      <c r="F22" s="179"/>
      <c r="G22" s="179"/>
      <c r="H22" s="179"/>
      <c r="I22" s="179"/>
      <c r="J22" s="179"/>
      <c r="K22" s="179"/>
      <c r="L22" s="179"/>
      <c r="M22" s="179"/>
      <c r="N22" s="179"/>
      <c r="O22" s="179"/>
      <c r="P22" s="179"/>
      <c r="Q22" s="179"/>
      <c r="R22" s="180"/>
      <c r="S22" s="180"/>
      <c r="T22" s="163"/>
    </row>
    <row r="23" spans="1:20" ht="15.5" x14ac:dyDescent="0.35">
      <c r="A23" s="780" t="s">
        <v>538</v>
      </c>
      <c r="B23" s="171" t="s">
        <v>53</v>
      </c>
      <c r="C23" s="172" t="s">
        <v>529</v>
      </c>
      <c r="D23" s="173"/>
      <c r="E23" s="173"/>
      <c r="F23" s="173">
        <f>Tulud25!N16</f>
        <v>265.60000000000002</v>
      </c>
      <c r="G23" s="173">
        <f>F23</f>
        <v>265.60000000000002</v>
      </c>
      <c r="H23" s="173">
        <f>G23</f>
        <v>265.60000000000002</v>
      </c>
      <c r="I23" s="173">
        <f>Tulud50!N16</f>
        <v>265.60000000000002</v>
      </c>
      <c r="J23" s="173">
        <f>I23</f>
        <v>265.60000000000002</v>
      </c>
      <c r="K23" s="173">
        <f t="shared" ref="K23:L23" si="49">J23</f>
        <v>265.60000000000002</v>
      </c>
      <c r="L23" s="173">
        <f t="shared" si="49"/>
        <v>265.60000000000002</v>
      </c>
      <c r="M23" s="173">
        <f>Tulud75!N16</f>
        <v>265.60000000000002</v>
      </c>
      <c r="N23" s="173">
        <f>M23</f>
        <v>265.60000000000002</v>
      </c>
      <c r="O23" s="173">
        <f t="shared" ref="O23:S23" si="50">N23</f>
        <v>265.60000000000002</v>
      </c>
      <c r="P23" s="173">
        <f t="shared" si="50"/>
        <v>265.60000000000002</v>
      </c>
      <c r="Q23" s="173">
        <f t="shared" si="50"/>
        <v>265.60000000000002</v>
      </c>
      <c r="R23" s="173">
        <f t="shared" si="50"/>
        <v>265.60000000000002</v>
      </c>
      <c r="S23" s="173">
        <f t="shared" si="50"/>
        <v>265.60000000000002</v>
      </c>
      <c r="T23" s="163"/>
    </row>
    <row r="24" spans="1:20" x14ac:dyDescent="0.35">
      <c r="A24" s="780"/>
      <c r="B24" s="171" t="s">
        <v>0</v>
      </c>
      <c r="C24" s="172" t="s">
        <v>530</v>
      </c>
      <c r="D24" s="173"/>
      <c r="E24" s="173"/>
      <c r="F24" s="173">
        <f>Tulud25!E16*4</f>
        <v>28</v>
      </c>
      <c r="G24" s="173">
        <f>Tulud25!E16*12</f>
        <v>84</v>
      </c>
      <c r="H24" s="173">
        <f t="shared" ref="H24:S24" si="51">G24</f>
        <v>84</v>
      </c>
      <c r="I24" s="173">
        <f t="shared" si="51"/>
        <v>84</v>
      </c>
      <c r="J24" s="173">
        <f t="shared" si="51"/>
        <v>84</v>
      </c>
      <c r="K24" s="173">
        <f t="shared" si="51"/>
        <v>84</v>
      </c>
      <c r="L24" s="173">
        <f t="shared" si="51"/>
        <v>84</v>
      </c>
      <c r="M24" s="173">
        <f t="shared" si="51"/>
        <v>84</v>
      </c>
      <c r="N24" s="173">
        <f t="shared" si="51"/>
        <v>84</v>
      </c>
      <c r="O24" s="173">
        <f t="shared" si="51"/>
        <v>84</v>
      </c>
      <c r="P24" s="173">
        <f t="shared" si="51"/>
        <v>84</v>
      </c>
      <c r="Q24" s="173">
        <f t="shared" si="51"/>
        <v>84</v>
      </c>
      <c r="R24" s="173">
        <f t="shared" si="51"/>
        <v>84</v>
      </c>
      <c r="S24" s="173">
        <f t="shared" si="51"/>
        <v>84</v>
      </c>
      <c r="T24" s="163"/>
    </row>
    <row r="25" spans="1:20" x14ac:dyDescent="0.35">
      <c r="A25" s="780"/>
      <c r="B25" s="175" t="s">
        <v>1</v>
      </c>
      <c r="C25" s="176" t="s">
        <v>3</v>
      </c>
      <c r="D25" s="174">
        <f t="shared" ref="D25:F25" si="52">D23*D24</f>
        <v>0</v>
      </c>
      <c r="E25" s="174">
        <f t="shared" si="52"/>
        <v>0</v>
      </c>
      <c r="F25" s="174">
        <f t="shared" si="52"/>
        <v>7436.8000000000011</v>
      </c>
      <c r="G25" s="174">
        <f t="shared" ref="G25:R25" si="53">G23*G24</f>
        <v>22310.400000000001</v>
      </c>
      <c r="H25" s="174">
        <f t="shared" si="53"/>
        <v>22310.400000000001</v>
      </c>
      <c r="I25" s="174">
        <f t="shared" si="53"/>
        <v>22310.400000000001</v>
      </c>
      <c r="J25" s="174">
        <f t="shared" si="53"/>
        <v>22310.400000000001</v>
      </c>
      <c r="K25" s="174">
        <f t="shared" si="53"/>
        <v>22310.400000000001</v>
      </c>
      <c r="L25" s="174">
        <f t="shared" si="53"/>
        <v>22310.400000000001</v>
      </c>
      <c r="M25" s="174">
        <f t="shared" si="53"/>
        <v>22310.400000000001</v>
      </c>
      <c r="N25" s="174">
        <f t="shared" si="53"/>
        <v>22310.400000000001</v>
      </c>
      <c r="O25" s="174">
        <f t="shared" si="53"/>
        <v>22310.400000000001</v>
      </c>
      <c r="P25" s="174">
        <f t="shared" si="53"/>
        <v>22310.400000000001</v>
      </c>
      <c r="Q25" s="174">
        <f t="shared" si="53"/>
        <v>22310.400000000001</v>
      </c>
      <c r="R25" s="174">
        <f t="shared" si="53"/>
        <v>22310.400000000001</v>
      </c>
      <c r="S25" s="174">
        <f t="shared" ref="S25" si="54">S23*S24</f>
        <v>22310.400000000001</v>
      </c>
      <c r="T25" s="163"/>
    </row>
    <row r="26" spans="1:20" ht="4.5" customHeight="1" x14ac:dyDescent="0.35">
      <c r="A26" s="177"/>
      <c r="B26" s="178"/>
      <c r="C26" s="179"/>
      <c r="D26" s="179"/>
      <c r="E26" s="179"/>
      <c r="F26" s="179"/>
      <c r="G26" s="179"/>
      <c r="H26" s="179"/>
      <c r="I26" s="179"/>
      <c r="J26" s="179"/>
      <c r="K26" s="179"/>
      <c r="L26" s="179"/>
      <c r="M26" s="179"/>
      <c r="N26" s="179"/>
      <c r="O26" s="179"/>
      <c r="P26" s="179"/>
      <c r="Q26" s="179"/>
      <c r="R26" s="180"/>
      <c r="S26" s="180"/>
      <c r="T26" s="163"/>
    </row>
    <row r="27" spans="1:20" ht="15.5" x14ac:dyDescent="0.35">
      <c r="A27" s="780" t="s">
        <v>535</v>
      </c>
      <c r="B27" s="171" t="s">
        <v>54</v>
      </c>
      <c r="C27" s="172" t="s">
        <v>529</v>
      </c>
      <c r="D27" s="173"/>
      <c r="E27" s="173"/>
      <c r="F27" s="173">
        <f>Tulud25!N17</f>
        <v>15.8</v>
      </c>
      <c r="G27" s="173">
        <f>F27</f>
        <v>15.8</v>
      </c>
      <c r="H27" s="173">
        <f>G27</f>
        <v>15.8</v>
      </c>
      <c r="I27" s="173">
        <f>Tulud50!N17</f>
        <v>15.8</v>
      </c>
      <c r="J27" s="173">
        <f>I27</f>
        <v>15.8</v>
      </c>
      <c r="K27" s="173">
        <f t="shared" ref="K27:L27" si="55">J27</f>
        <v>15.8</v>
      </c>
      <c r="L27" s="173">
        <f t="shared" si="55"/>
        <v>15.8</v>
      </c>
      <c r="M27" s="173">
        <f>Tulud75!N17</f>
        <v>15.8</v>
      </c>
      <c r="N27" s="173">
        <f>M27</f>
        <v>15.8</v>
      </c>
      <c r="O27" s="173">
        <f t="shared" ref="O27:S27" si="56">N27</f>
        <v>15.8</v>
      </c>
      <c r="P27" s="173">
        <f t="shared" si="56"/>
        <v>15.8</v>
      </c>
      <c r="Q27" s="173">
        <f t="shared" si="56"/>
        <v>15.8</v>
      </c>
      <c r="R27" s="173">
        <f t="shared" si="56"/>
        <v>15.8</v>
      </c>
      <c r="S27" s="173">
        <f t="shared" si="56"/>
        <v>15.8</v>
      </c>
      <c r="T27" s="163"/>
    </row>
    <row r="28" spans="1:20" x14ac:dyDescent="0.35">
      <c r="A28" s="780"/>
      <c r="B28" s="171" t="s">
        <v>0</v>
      </c>
      <c r="C28" s="172" t="s">
        <v>530</v>
      </c>
      <c r="D28" s="173"/>
      <c r="E28" s="173"/>
      <c r="F28" s="173">
        <f>Tulud25!E17*4</f>
        <v>28</v>
      </c>
      <c r="G28" s="173">
        <f>Tulud25!E17*12</f>
        <v>84</v>
      </c>
      <c r="H28" s="173">
        <f t="shared" ref="H28:S28" si="57">G28</f>
        <v>84</v>
      </c>
      <c r="I28" s="173">
        <f t="shared" si="57"/>
        <v>84</v>
      </c>
      <c r="J28" s="173">
        <f t="shared" si="57"/>
        <v>84</v>
      </c>
      <c r="K28" s="173">
        <f t="shared" si="57"/>
        <v>84</v>
      </c>
      <c r="L28" s="173">
        <f t="shared" si="57"/>
        <v>84</v>
      </c>
      <c r="M28" s="173">
        <f t="shared" si="57"/>
        <v>84</v>
      </c>
      <c r="N28" s="173">
        <f t="shared" si="57"/>
        <v>84</v>
      </c>
      <c r="O28" s="173">
        <f t="shared" si="57"/>
        <v>84</v>
      </c>
      <c r="P28" s="173">
        <f t="shared" si="57"/>
        <v>84</v>
      </c>
      <c r="Q28" s="173">
        <f t="shared" si="57"/>
        <v>84</v>
      </c>
      <c r="R28" s="173">
        <f t="shared" si="57"/>
        <v>84</v>
      </c>
      <c r="S28" s="173">
        <f t="shared" si="57"/>
        <v>84</v>
      </c>
      <c r="T28" s="163"/>
    </row>
    <row r="29" spans="1:20" x14ac:dyDescent="0.35">
      <c r="A29" s="780"/>
      <c r="B29" s="175" t="s">
        <v>1</v>
      </c>
      <c r="C29" s="176" t="s">
        <v>3</v>
      </c>
      <c r="D29" s="174">
        <f t="shared" ref="D29:L29" si="58">D27*D28</f>
        <v>0</v>
      </c>
      <c r="E29" s="174">
        <f t="shared" si="58"/>
        <v>0</v>
      </c>
      <c r="F29" s="174">
        <f t="shared" si="58"/>
        <v>442.40000000000003</v>
      </c>
      <c r="G29" s="174">
        <f t="shared" si="58"/>
        <v>1327.2</v>
      </c>
      <c r="H29" s="174">
        <f t="shared" si="58"/>
        <v>1327.2</v>
      </c>
      <c r="I29" s="174">
        <f t="shared" si="58"/>
        <v>1327.2</v>
      </c>
      <c r="J29" s="174">
        <f t="shared" si="58"/>
        <v>1327.2</v>
      </c>
      <c r="K29" s="174">
        <f t="shared" si="58"/>
        <v>1327.2</v>
      </c>
      <c r="L29" s="174">
        <f t="shared" si="58"/>
        <v>1327.2</v>
      </c>
      <c r="M29" s="174">
        <f t="shared" ref="M29" si="59">M27*M28</f>
        <v>1327.2</v>
      </c>
      <c r="N29" s="174">
        <f t="shared" ref="N29" si="60">N27*N28</f>
        <v>1327.2</v>
      </c>
      <c r="O29" s="174">
        <f t="shared" ref="O29" si="61">O27*O28</f>
        <v>1327.2</v>
      </c>
      <c r="P29" s="174">
        <f t="shared" ref="P29" si="62">P27*P28</f>
        <v>1327.2</v>
      </c>
      <c r="Q29" s="174">
        <f t="shared" ref="Q29" si="63">Q27*Q28</f>
        <v>1327.2</v>
      </c>
      <c r="R29" s="174">
        <f t="shared" ref="R29:S29" si="64">R27*R28</f>
        <v>1327.2</v>
      </c>
      <c r="S29" s="174">
        <f t="shared" si="64"/>
        <v>1327.2</v>
      </c>
      <c r="T29" s="163"/>
    </row>
    <row r="30" spans="1:20" ht="4.5" customHeight="1" x14ac:dyDescent="0.35">
      <c r="A30" s="177"/>
      <c r="B30" s="178"/>
      <c r="C30" s="179"/>
      <c r="D30" s="179"/>
      <c r="E30" s="179"/>
      <c r="F30" s="179"/>
      <c r="G30" s="179"/>
      <c r="H30" s="179"/>
      <c r="I30" s="179"/>
      <c r="J30" s="179"/>
      <c r="K30" s="179"/>
      <c r="L30" s="179"/>
      <c r="M30" s="179"/>
      <c r="N30" s="179"/>
      <c r="O30" s="179"/>
      <c r="P30" s="179"/>
      <c r="Q30" s="179"/>
      <c r="R30" s="180"/>
      <c r="S30" s="180"/>
      <c r="T30" s="163"/>
    </row>
    <row r="31" spans="1:20" ht="15.5" x14ac:dyDescent="0.35">
      <c r="A31" s="780" t="s">
        <v>527</v>
      </c>
      <c r="B31" s="171" t="s">
        <v>55</v>
      </c>
      <c r="C31" s="172" t="s">
        <v>529</v>
      </c>
      <c r="D31" s="173"/>
      <c r="E31" s="173"/>
      <c r="F31" s="173">
        <f>Tulud25!N19</f>
        <v>27.975000000000001</v>
      </c>
      <c r="G31" s="173">
        <f>F31</f>
        <v>27.975000000000001</v>
      </c>
      <c r="H31" s="173">
        <f>G31</f>
        <v>27.975000000000001</v>
      </c>
      <c r="I31" s="173">
        <f>Tulud50!N19</f>
        <v>55.95</v>
      </c>
      <c r="J31" s="173">
        <f>I31</f>
        <v>55.95</v>
      </c>
      <c r="K31" s="173">
        <f t="shared" ref="K31:L31" si="65">J31</f>
        <v>55.95</v>
      </c>
      <c r="L31" s="173">
        <f t="shared" si="65"/>
        <v>55.95</v>
      </c>
      <c r="M31" s="173">
        <f>Tulud75!N19</f>
        <v>83.925000000000011</v>
      </c>
      <c r="N31" s="173">
        <f>M31</f>
        <v>83.925000000000011</v>
      </c>
      <c r="O31" s="173">
        <f t="shared" ref="O31:S31" si="66">N31</f>
        <v>83.925000000000011</v>
      </c>
      <c r="P31" s="173">
        <f t="shared" si="66"/>
        <v>83.925000000000011</v>
      </c>
      <c r="Q31" s="173">
        <f t="shared" si="66"/>
        <v>83.925000000000011</v>
      </c>
      <c r="R31" s="173">
        <f t="shared" si="66"/>
        <v>83.925000000000011</v>
      </c>
      <c r="S31" s="173">
        <f t="shared" si="66"/>
        <v>83.925000000000011</v>
      </c>
      <c r="T31" s="163"/>
    </row>
    <row r="32" spans="1:20" x14ac:dyDescent="0.35">
      <c r="A32" s="780"/>
      <c r="B32" s="171" t="s">
        <v>0</v>
      </c>
      <c r="C32" s="172" t="s">
        <v>530</v>
      </c>
      <c r="D32" s="173"/>
      <c r="E32" s="173"/>
      <c r="F32" s="173">
        <f>Tulud25!E19*4</f>
        <v>220</v>
      </c>
      <c r="G32" s="173">
        <f>Tulud25!E19*12</f>
        <v>660</v>
      </c>
      <c r="H32" s="173">
        <f t="shared" ref="H32:S32" si="67">G32</f>
        <v>660</v>
      </c>
      <c r="I32" s="173">
        <f t="shared" si="67"/>
        <v>660</v>
      </c>
      <c r="J32" s="173">
        <f t="shared" si="67"/>
        <v>660</v>
      </c>
      <c r="K32" s="173">
        <f t="shared" si="67"/>
        <v>660</v>
      </c>
      <c r="L32" s="173">
        <f t="shared" si="67"/>
        <v>660</v>
      </c>
      <c r="M32" s="173">
        <f t="shared" si="67"/>
        <v>660</v>
      </c>
      <c r="N32" s="173">
        <f t="shared" si="67"/>
        <v>660</v>
      </c>
      <c r="O32" s="173">
        <f t="shared" si="67"/>
        <v>660</v>
      </c>
      <c r="P32" s="173">
        <f t="shared" si="67"/>
        <v>660</v>
      </c>
      <c r="Q32" s="173">
        <f t="shared" si="67"/>
        <v>660</v>
      </c>
      <c r="R32" s="173">
        <f t="shared" si="67"/>
        <v>660</v>
      </c>
      <c r="S32" s="173">
        <f t="shared" si="67"/>
        <v>660</v>
      </c>
      <c r="T32" s="163"/>
    </row>
    <row r="33" spans="1:20" x14ac:dyDescent="0.35">
      <c r="A33" s="780"/>
      <c r="B33" s="175" t="s">
        <v>1</v>
      </c>
      <c r="C33" s="176" t="s">
        <v>3</v>
      </c>
      <c r="D33" s="174">
        <f t="shared" ref="D33:L33" si="68">D31*D32</f>
        <v>0</v>
      </c>
      <c r="E33" s="174">
        <f t="shared" si="68"/>
        <v>0</v>
      </c>
      <c r="F33" s="174">
        <f t="shared" si="68"/>
        <v>6154.5</v>
      </c>
      <c r="G33" s="174">
        <f t="shared" si="68"/>
        <v>18463.5</v>
      </c>
      <c r="H33" s="174">
        <f t="shared" si="68"/>
        <v>18463.5</v>
      </c>
      <c r="I33" s="174">
        <f t="shared" si="68"/>
        <v>36927</v>
      </c>
      <c r="J33" s="174">
        <f t="shared" si="68"/>
        <v>36927</v>
      </c>
      <c r="K33" s="174">
        <f t="shared" si="68"/>
        <v>36927</v>
      </c>
      <c r="L33" s="174">
        <f t="shared" si="68"/>
        <v>36927</v>
      </c>
      <c r="M33" s="174">
        <f t="shared" ref="M33" si="69">M31*M32</f>
        <v>55390.500000000007</v>
      </c>
      <c r="N33" s="174">
        <f t="shared" ref="N33" si="70">N31*N32</f>
        <v>55390.500000000007</v>
      </c>
      <c r="O33" s="174">
        <f t="shared" ref="O33" si="71">O31*O32</f>
        <v>55390.500000000007</v>
      </c>
      <c r="P33" s="174">
        <f t="shared" ref="P33" si="72">P31*P32</f>
        <v>55390.500000000007</v>
      </c>
      <c r="Q33" s="174">
        <f t="shared" ref="Q33" si="73">Q31*Q32</f>
        <v>55390.500000000007</v>
      </c>
      <c r="R33" s="174">
        <f t="shared" ref="R33:S33" si="74">R31*R32</f>
        <v>55390.500000000007</v>
      </c>
      <c r="S33" s="174">
        <f t="shared" si="74"/>
        <v>55390.500000000007</v>
      </c>
      <c r="T33" s="163"/>
    </row>
    <row r="34" spans="1:20" ht="4.5" customHeight="1" x14ac:dyDescent="0.35">
      <c r="A34" s="177"/>
      <c r="B34" s="178"/>
      <c r="C34" s="179"/>
      <c r="D34" s="179"/>
      <c r="E34" s="179"/>
      <c r="F34" s="179"/>
      <c r="G34" s="179"/>
      <c r="H34" s="179"/>
      <c r="I34" s="179"/>
      <c r="J34" s="179"/>
      <c r="K34" s="179"/>
      <c r="L34" s="179"/>
      <c r="M34" s="179"/>
      <c r="N34" s="179"/>
      <c r="O34" s="179"/>
      <c r="P34" s="179"/>
      <c r="Q34" s="179"/>
      <c r="R34" s="180"/>
      <c r="S34" s="180"/>
      <c r="T34" s="163"/>
    </row>
    <row r="35" spans="1:20" ht="15.5" x14ac:dyDescent="0.35">
      <c r="A35" s="780" t="s">
        <v>541</v>
      </c>
      <c r="B35" s="171" t="s">
        <v>56</v>
      </c>
      <c r="C35" s="172" t="s">
        <v>529</v>
      </c>
      <c r="D35" s="173"/>
      <c r="E35" s="173"/>
      <c r="F35" s="173">
        <f>Tulud25!N20</f>
        <v>6.6</v>
      </c>
      <c r="G35" s="173">
        <f>F35</f>
        <v>6.6</v>
      </c>
      <c r="H35" s="173">
        <f>G35</f>
        <v>6.6</v>
      </c>
      <c r="I35" s="173">
        <f>Tulud50!N20</f>
        <v>13.2</v>
      </c>
      <c r="J35" s="173">
        <f>I35</f>
        <v>13.2</v>
      </c>
      <c r="K35" s="173">
        <f t="shared" ref="K35:L35" si="75">J35</f>
        <v>13.2</v>
      </c>
      <c r="L35" s="173">
        <f t="shared" si="75"/>
        <v>13.2</v>
      </c>
      <c r="M35" s="173">
        <f>Tulud75!N20</f>
        <v>19.799999999999997</v>
      </c>
      <c r="N35" s="173">
        <f>M35</f>
        <v>19.799999999999997</v>
      </c>
      <c r="O35" s="173">
        <f t="shared" ref="O35:S35" si="76">N35</f>
        <v>19.799999999999997</v>
      </c>
      <c r="P35" s="173">
        <f t="shared" si="76"/>
        <v>19.799999999999997</v>
      </c>
      <c r="Q35" s="173">
        <f t="shared" si="76"/>
        <v>19.799999999999997</v>
      </c>
      <c r="R35" s="173">
        <f t="shared" si="76"/>
        <v>19.799999999999997</v>
      </c>
      <c r="S35" s="173">
        <f t="shared" si="76"/>
        <v>19.799999999999997</v>
      </c>
      <c r="T35" s="163"/>
    </row>
    <row r="36" spans="1:20" x14ac:dyDescent="0.35">
      <c r="A36" s="780"/>
      <c r="B36" s="171" t="s">
        <v>0</v>
      </c>
      <c r="C36" s="172" t="s">
        <v>530</v>
      </c>
      <c r="D36" s="173"/>
      <c r="E36" s="173"/>
      <c r="F36" s="173">
        <f>Tulud25!E20*4</f>
        <v>60</v>
      </c>
      <c r="G36" s="173">
        <f>Tulud25!E20*12</f>
        <v>180</v>
      </c>
      <c r="H36" s="173">
        <f t="shared" ref="H36:S36" si="77">G36</f>
        <v>180</v>
      </c>
      <c r="I36" s="173">
        <f t="shared" si="77"/>
        <v>180</v>
      </c>
      <c r="J36" s="173">
        <f t="shared" si="77"/>
        <v>180</v>
      </c>
      <c r="K36" s="173">
        <f t="shared" si="77"/>
        <v>180</v>
      </c>
      <c r="L36" s="173">
        <f t="shared" si="77"/>
        <v>180</v>
      </c>
      <c r="M36" s="173">
        <f t="shared" si="77"/>
        <v>180</v>
      </c>
      <c r="N36" s="173">
        <f t="shared" si="77"/>
        <v>180</v>
      </c>
      <c r="O36" s="173">
        <f t="shared" si="77"/>
        <v>180</v>
      </c>
      <c r="P36" s="173">
        <f t="shared" si="77"/>
        <v>180</v>
      </c>
      <c r="Q36" s="173">
        <f t="shared" si="77"/>
        <v>180</v>
      </c>
      <c r="R36" s="173">
        <f t="shared" si="77"/>
        <v>180</v>
      </c>
      <c r="S36" s="173">
        <f t="shared" si="77"/>
        <v>180</v>
      </c>
      <c r="T36" s="163"/>
    </row>
    <row r="37" spans="1:20" x14ac:dyDescent="0.35">
      <c r="A37" s="780"/>
      <c r="B37" s="175" t="s">
        <v>1</v>
      </c>
      <c r="C37" s="176" t="s">
        <v>3</v>
      </c>
      <c r="D37" s="174">
        <f t="shared" ref="D37:L37" si="78">D35*D36</f>
        <v>0</v>
      </c>
      <c r="E37" s="174">
        <f t="shared" si="78"/>
        <v>0</v>
      </c>
      <c r="F37" s="174">
        <f t="shared" si="78"/>
        <v>396</v>
      </c>
      <c r="G37" s="174">
        <f t="shared" si="78"/>
        <v>1188</v>
      </c>
      <c r="H37" s="174">
        <f t="shared" si="78"/>
        <v>1188</v>
      </c>
      <c r="I37" s="174">
        <f t="shared" si="78"/>
        <v>2376</v>
      </c>
      <c r="J37" s="174">
        <f t="shared" si="78"/>
        <v>2376</v>
      </c>
      <c r="K37" s="174">
        <f t="shared" si="78"/>
        <v>2376</v>
      </c>
      <c r="L37" s="174">
        <f t="shared" si="78"/>
        <v>2376</v>
      </c>
      <c r="M37" s="174">
        <f t="shared" ref="M37" si="79">M35*M36</f>
        <v>3563.9999999999995</v>
      </c>
      <c r="N37" s="174">
        <f t="shared" ref="N37" si="80">N35*N36</f>
        <v>3563.9999999999995</v>
      </c>
      <c r="O37" s="174">
        <f t="shared" ref="O37" si="81">O35*O36</f>
        <v>3563.9999999999995</v>
      </c>
      <c r="P37" s="174">
        <f t="shared" ref="P37" si="82">P35*P36</f>
        <v>3563.9999999999995</v>
      </c>
      <c r="Q37" s="174">
        <f t="shared" ref="Q37" si="83">Q35*Q36</f>
        <v>3563.9999999999995</v>
      </c>
      <c r="R37" s="174">
        <f t="shared" ref="R37:S37" si="84">R35*R36</f>
        <v>3563.9999999999995</v>
      </c>
      <c r="S37" s="174">
        <f t="shared" si="84"/>
        <v>3563.9999999999995</v>
      </c>
      <c r="T37" s="163"/>
    </row>
    <row r="38" spans="1:20" ht="4.5" hidden="1" customHeight="1" x14ac:dyDescent="0.35">
      <c r="A38" s="177"/>
      <c r="B38" s="178"/>
      <c r="C38" s="179"/>
      <c r="D38" s="179"/>
      <c r="E38" s="179"/>
      <c r="F38" s="179"/>
      <c r="G38" s="179"/>
      <c r="H38" s="179"/>
      <c r="I38" s="179"/>
      <c r="J38" s="179"/>
      <c r="K38" s="179"/>
      <c r="L38" s="179"/>
      <c r="M38" s="179"/>
      <c r="N38" s="179"/>
      <c r="O38" s="179"/>
      <c r="P38" s="179"/>
      <c r="Q38" s="179"/>
      <c r="R38" s="180"/>
      <c r="S38" s="180"/>
      <c r="T38" s="163"/>
    </row>
    <row r="39" spans="1:20" hidden="1" x14ac:dyDescent="0.35">
      <c r="A39" s="780"/>
      <c r="B39" s="171" t="s">
        <v>57</v>
      </c>
      <c r="C39" s="172" t="s">
        <v>533</v>
      </c>
      <c r="D39" s="173"/>
      <c r="E39" s="173"/>
      <c r="F39" s="173"/>
      <c r="G39" s="173"/>
      <c r="H39" s="173"/>
      <c r="I39" s="173"/>
      <c r="J39" s="173"/>
      <c r="K39" s="173"/>
      <c r="L39" s="173"/>
      <c r="M39" s="173"/>
      <c r="N39" s="173"/>
      <c r="O39" s="173"/>
      <c r="P39" s="173"/>
      <c r="Q39" s="173"/>
      <c r="R39" s="173"/>
      <c r="S39" s="173"/>
      <c r="T39" s="163"/>
    </row>
    <row r="40" spans="1:20" hidden="1" x14ac:dyDescent="0.35">
      <c r="A40" s="780"/>
      <c r="B40" s="171" t="s">
        <v>0</v>
      </c>
      <c r="C40" s="172" t="s">
        <v>534</v>
      </c>
      <c r="D40" s="173"/>
      <c r="E40" s="173"/>
      <c r="F40" s="173"/>
      <c r="G40" s="173"/>
      <c r="H40" s="173"/>
      <c r="I40" s="173"/>
      <c r="J40" s="173"/>
      <c r="K40" s="173"/>
      <c r="L40" s="173"/>
      <c r="M40" s="173"/>
      <c r="N40" s="173"/>
      <c r="O40" s="173"/>
      <c r="P40" s="173"/>
      <c r="Q40" s="173"/>
      <c r="R40" s="173"/>
      <c r="S40" s="173"/>
      <c r="T40" s="163"/>
    </row>
    <row r="41" spans="1:20" hidden="1" x14ac:dyDescent="0.35">
      <c r="A41" s="780"/>
      <c r="B41" s="175" t="s">
        <v>1</v>
      </c>
      <c r="C41" s="176" t="s">
        <v>3</v>
      </c>
      <c r="D41" s="174">
        <f t="shared" ref="D41:L41" si="85">D39*D40</f>
        <v>0</v>
      </c>
      <c r="E41" s="174">
        <f t="shared" si="85"/>
        <v>0</v>
      </c>
      <c r="F41" s="174">
        <f t="shared" si="85"/>
        <v>0</v>
      </c>
      <c r="G41" s="174">
        <f t="shared" si="85"/>
        <v>0</v>
      </c>
      <c r="H41" s="174">
        <f t="shared" si="85"/>
        <v>0</v>
      </c>
      <c r="I41" s="174">
        <f t="shared" si="85"/>
        <v>0</v>
      </c>
      <c r="J41" s="174">
        <f t="shared" si="85"/>
        <v>0</v>
      </c>
      <c r="K41" s="174">
        <f t="shared" si="85"/>
        <v>0</v>
      </c>
      <c r="L41" s="174">
        <f t="shared" si="85"/>
        <v>0</v>
      </c>
      <c r="M41" s="174">
        <f t="shared" ref="M41" si="86">M39*M40</f>
        <v>0</v>
      </c>
      <c r="N41" s="174">
        <f t="shared" ref="N41" si="87">N39*N40</f>
        <v>0</v>
      </c>
      <c r="O41" s="174">
        <f t="shared" ref="O41" si="88">O39*O40</f>
        <v>0</v>
      </c>
      <c r="P41" s="174">
        <f t="shared" ref="P41" si="89">P39*P40</f>
        <v>0</v>
      </c>
      <c r="Q41" s="174">
        <f t="shared" ref="Q41" si="90">Q39*Q40</f>
        <v>0</v>
      </c>
      <c r="R41" s="174">
        <f t="shared" ref="R41:S41" si="91">R39*R40</f>
        <v>0</v>
      </c>
      <c r="S41" s="174">
        <f t="shared" si="91"/>
        <v>0</v>
      </c>
      <c r="T41" s="163"/>
    </row>
    <row r="42" spans="1:20" ht="4.5" customHeight="1" x14ac:dyDescent="0.35">
      <c r="A42" s="177"/>
      <c r="B42" s="178"/>
      <c r="C42" s="179"/>
      <c r="D42" s="179"/>
      <c r="E42" s="179"/>
      <c r="F42" s="179"/>
      <c r="G42" s="179"/>
      <c r="H42" s="179"/>
      <c r="I42" s="179"/>
      <c r="J42" s="179"/>
      <c r="K42" s="179"/>
      <c r="L42" s="179"/>
      <c r="M42" s="179"/>
      <c r="N42" s="179"/>
      <c r="O42" s="179"/>
      <c r="P42" s="179"/>
      <c r="Q42" s="179"/>
      <c r="R42" s="180"/>
      <c r="S42" s="180"/>
      <c r="T42" s="163"/>
    </row>
    <row r="43" spans="1:20" x14ac:dyDescent="0.35">
      <c r="A43" s="780" t="str">
        <f>Tulud50!A35</f>
        <v>Arved üürnikele kommunaalkulude eest</v>
      </c>
      <c r="B43" s="171" t="s">
        <v>58</v>
      </c>
      <c r="C43" s="172" t="s">
        <v>533</v>
      </c>
      <c r="D43" s="173"/>
      <c r="E43" s="173"/>
      <c r="F43" s="173">
        <v>12</v>
      </c>
      <c r="G43" s="173">
        <v>12</v>
      </c>
      <c r="H43" s="173">
        <v>12</v>
      </c>
      <c r="I43" s="173">
        <v>12</v>
      </c>
      <c r="J43" s="173">
        <v>12</v>
      </c>
      <c r="K43" s="173">
        <v>12</v>
      </c>
      <c r="L43" s="173">
        <v>12</v>
      </c>
      <c r="M43" s="173">
        <v>12</v>
      </c>
      <c r="N43" s="173">
        <v>12</v>
      </c>
      <c r="O43" s="173">
        <v>12</v>
      </c>
      <c r="P43" s="173">
        <v>12</v>
      </c>
      <c r="Q43" s="173">
        <v>12</v>
      </c>
      <c r="R43" s="173">
        <v>12</v>
      </c>
      <c r="S43" s="173">
        <v>12</v>
      </c>
      <c r="T43" s="163"/>
    </row>
    <row r="44" spans="1:20" x14ac:dyDescent="0.35">
      <c r="A44" s="780"/>
      <c r="B44" s="171" t="s">
        <v>0</v>
      </c>
      <c r="C44" s="172" t="s">
        <v>534</v>
      </c>
      <c r="D44" s="173"/>
      <c r="E44" s="173"/>
      <c r="F44" s="173">
        <f>Tulud25!G47*4/12</f>
        <v>556.1159119092689</v>
      </c>
      <c r="G44" s="173">
        <f>Tulud25!G47</f>
        <v>1668.3477357278068</v>
      </c>
      <c r="H44" s="173">
        <f>G44</f>
        <v>1668.3477357278068</v>
      </c>
      <c r="I44" s="173">
        <f>Tulud50!G47</f>
        <v>1836.709363293277</v>
      </c>
      <c r="J44" s="173">
        <f>I44</f>
        <v>1836.709363293277</v>
      </c>
      <c r="K44" s="173">
        <f t="shared" ref="K44:L44" si="92">J44</f>
        <v>1836.709363293277</v>
      </c>
      <c r="L44" s="173">
        <f t="shared" si="92"/>
        <v>1836.709363293277</v>
      </c>
      <c r="M44" s="173">
        <f>Tulud75!G47</f>
        <v>2007.5042391046027</v>
      </c>
      <c r="N44" s="173">
        <f>M44</f>
        <v>2007.5042391046027</v>
      </c>
      <c r="O44" s="173">
        <f t="shared" ref="O44:S44" si="93">N44</f>
        <v>2007.5042391046027</v>
      </c>
      <c r="P44" s="173">
        <f t="shared" si="93"/>
        <v>2007.5042391046027</v>
      </c>
      <c r="Q44" s="173">
        <f t="shared" si="93"/>
        <v>2007.5042391046027</v>
      </c>
      <c r="R44" s="173">
        <f t="shared" si="93"/>
        <v>2007.5042391046027</v>
      </c>
      <c r="S44" s="173">
        <f t="shared" si="93"/>
        <v>2007.5042391046027</v>
      </c>
      <c r="T44" s="163"/>
    </row>
    <row r="45" spans="1:20" x14ac:dyDescent="0.35">
      <c r="A45" s="780"/>
      <c r="B45" s="175" t="s">
        <v>1</v>
      </c>
      <c r="C45" s="176" t="s">
        <v>3</v>
      </c>
      <c r="D45" s="174">
        <f t="shared" ref="D45:L45" si="94">D43*D44</f>
        <v>0</v>
      </c>
      <c r="E45" s="174">
        <f t="shared" si="94"/>
        <v>0</v>
      </c>
      <c r="F45" s="174">
        <f t="shared" si="94"/>
        <v>6673.3909429112264</v>
      </c>
      <c r="G45" s="174">
        <f t="shared" si="94"/>
        <v>20020.172828733681</v>
      </c>
      <c r="H45" s="174">
        <f t="shared" si="94"/>
        <v>20020.172828733681</v>
      </c>
      <c r="I45" s="174">
        <f t="shared" si="94"/>
        <v>22040.512359519322</v>
      </c>
      <c r="J45" s="174">
        <f t="shared" si="94"/>
        <v>22040.512359519322</v>
      </c>
      <c r="K45" s="174">
        <f t="shared" si="94"/>
        <v>22040.512359519322</v>
      </c>
      <c r="L45" s="174">
        <f t="shared" si="94"/>
        <v>22040.512359519322</v>
      </c>
      <c r="M45" s="174">
        <f t="shared" ref="M45" si="95">M43*M44</f>
        <v>24090.050869255232</v>
      </c>
      <c r="N45" s="174">
        <f t="shared" ref="N45" si="96">N43*N44</f>
        <v>24090.050869255232</v>
      </c>
      <c r="O45" s="174">
        <f t="shared" ref="O45" si="97">O43*O44</f>
        <v>24090.050869255232</v>
      </c>
      <c r="P45" s="174">
        <f t="shared" ref="P45" si="98">P43*P44</f>
        <v>24090.050869255232</v>
      </c>
      <c r="Q45" s="174">
        <f t="shared" ref="Q45" si="99">Q43*Q44</f>
        <v>24090.050869255232</v>
      </c>
      <c r="R45" s="174">
        <f t="shared" ref="R45:S45" si="100">R43*R44</f>
        <v>24090.050869255232</v>
      </c>
      <c r="S45" s="174">
        <f t="shared" si="100"/>
        <v>24090.050869255232</v>
      </c>
      <c r="T45" s="163"/>
    </row>
    <row r="46" spans="1:20" ht="12" hidden="1" customHeight="1" outlineLevel="1" x14ac:dyDescent="0.35">
      <c r="A46" s="181"/>
      <c r="B46" s="178"/>
      <c r="C46" s="179"/>
      <c r="D46" s="179"/>
      <c r="E46" s="179"/>
      <c r="F46" s="179"/>
      <c r="G46" s="179"/>
      <c r="H46" s="179"/>
      <c r="I46" s="179"/>
      <c r="J46" s="179"/>
      <c r="K46" s="179"/>
      <c r="L46" s="179"/>
      <c r="M46" s="179"/>
      <c r="N46" s="179"/>
      <c r="O46" s="179"/>
      <c r="P46" s="179"/>
      <c r="Q46" s="179"/>
      <c r="R46" s="180"/>
      <c r="S46" s="180"/>
      <c r="T46" s="163"/>
    </row>
    <row r="47" spans="1:20" ht="18.75" hidden="1" customHeight="1" outlineLevel="1" x14ac:dyDescent="0.35">
      <c r="A47" s="781" t="s">
        <v>140</v>
      </c>
      <c r="B47" s="782"/>
      <c r="C47" s="176" t="s">
        <v>3</v>
      </c>
      <c r="D47" s="173"/>
      <c r="E47" s="173"/>
      <c r="F47" s="173"/>
      <c r="G47" s="173"/>
      <c r="H47" s="173"/>
      <c r="I47" s="173"/>
      <c r="J47" s="173"/>
      <c r="K47" s="173"/>
      <c r="L47" s="173"/>
      <c r="M47" s="173"/>
      <c r="N47" s="173"/>
      <c r="O47" s="173"/>
      <c r="P47" s="173"/>
      <c r="Q47" s="173"/>
      <c r="R47" s="173"/>
      <c r="S47" s="173"/>
      <c r="T47" s="163"/>
    </row>
    <row r="48" spans="1:20" ht="18.75" hidden="1" customHeight="1" outlineLevel="1" x14ac:dyDescent="0.35">
      <c r="A48" s="781" t="s">
        <v>140</v>
      </c>
      <c r="B48" s="782"/>
      <c r="C48" s="176" t="s">
        <v>3</v>
      </c>
      <c r="D48" s="173"/>
      <c r="E48" s="173"/>
      <c r="F48" s="173"/>
      <c r="G48" s="173"/>
      <c r="H48" s="173"/>
      <c r="I48" s="173"/>
      <c r="J48" s="173"/>
      <c r="K48" s="173"/>
      <c r="L48" s="173"/>
      <c r="M48" s="173"/>
      <c r="N48" s="173"/>
      <c r="O48" s="173"/>
      <c r="P48" s="173"/>
      <c r="Q48" s="173"/>
      <c r="R48" s="173"/>
      <c r="S48" s="173"/>
      <c r="T48" s="163"/>
    </row>
    <row r="49" spans="1:22" ht="18.75" hidden="1" customHeight="1" outlineLevel="1" x14ac:dyDescent="0.35">
      <c r="A49" s="781" t="s">
        <v>140</v>
      </c>
      <c r="B49" s="782"/>
      <c r="C49" s="176" t="s">
        <v>3</v>
      </c>
      <c r="D49" s="173"/>
      <c r="E49" s="173"/>
      <c r="F49" s="173"/>
      <c r="G49" s="173"/>
      <c r="H49" s="173"/>
      <c r="I49" s="173"/>
      <c r="J49" s="173"/>
      <c r="K49" s="173"/>
      <c r="L49" s="173"/>
      <c r="M49" s="173"/>
      <c r="N49" s="173"/>
      <c r="O49" s="173"/>
      <c r="P49" s="173"/>
      <c r="Q49" s="173"/>
      <c r="R49" s="173"/>
      <c r="S49" s="173"/>
      <c r="T49" s="163"/>
    </row>
    <row r="50" spans="1:22" ht="18.75" hidden="1" customHeight="1" outlineLevel="1" x14ac:dyDescent="0.35">
      <c r="A50" s="781" t="s">
        <v>140</v>
      </c>
      <c r="B50" s="782"/>
      <c r="C50" s="176" t="s">
        <v>3</v>
      </c>
      <c r="D50" s="173"/>
      <c r="E50" s="173"/>
      <c r="F50" s="173"/>
      <c r="G50" s="173"/>
      <c r="H50" s="173"/>
      <c r="I50" s="173"/>
      <c r="J50" s="173"/>
      <c r="K50" s="173"/>
      <c r="L50" s="173"/>
      <c r="M50" s="173"/>
      <c r="N50" s="173"/>
      <c r="O50" s="173"/>
      <c r="P50" s="173"/>
      <c r="Q50" s="173"/>
      <c r="R50" s="173"/>
      <c r="S50" s="173"/>
      <c r="T50" s="163"/>
    </row>
    <row r="51" spans="1:22" ht="18.75" hidden="1" customHeight="1" outlineLevel="1" x14ac:dyDescent="0.35">
      <c r="A51" s="781" t="s">
        <v>140</v>
      </c>
      <c r="B51" s="782"/>
      <c r="C51" s="176" t="s">
        <v>3</v>
      </c>
      <c r="D51" s="173"/>
      <c r="E51" s="173"/>
      <c r="F51" s="173"/>
      <c r="G51" s="173"/>
      <c r="H51" s="173"/>
      <c r="I51" s="173"/>
      <c r="J51" s="173"/>
      <c r="K51" s="173"/>
      <c r="L51" s="173"/>
      <c r="M51" s="173"/>
      <c r="N51" s="173"/>
      <c r="O51" s="173"/>
      <c r="P51" s="173"/>
      <c r="Q51" s="173"/>
      <c r="R51" s="173"/>
      <c r="S51" s="173"/>
      <c r="T51" s="163"/>
    </row>
    <row r="52" spans="1:22" ht="4.5" hidden="1" customHeight="1" outlineLevel="1" x14ac:dyDescent="0.35">
      <c r="A52" s="157"/>
      <c r="B52" s="158"/>
      <c r="C52" s="160"/>
      <c r="D52" s="160"/>
      <c r="E52" s="160"/>
      <c r="F52" s="160"/>
      <c r="G52" s="160"/>
      <c r="H52" s="160"/>
      <c r="I52" s="160"/>
      <c r="J52" s="160"/>
      <c r="K52" s="160"/>
      <c r="L52" s="160"/>
      <c r="M52" s="160"/>
      <c r="N52" s="160"/>
      <c r="O52" s="160"/>
      <c r="P52" s="160"/>
      <c r="Q52" s="160"/>
      <c r="R52" s="170"/>
      <c r="S52" s="170"/>
      <c r="T52" s="163"/>
    </row>
    <row r="53" spans="1:22" s="185" customFormat="1" ht="21" customHeight="1" collapsed="1" x14ac:dyDescent="0.35">
      <c r="A53" s="783" t="s">
        <v>8</v>
      </c>
      <c r="B53" s="784"/>
      <c r="C53" s="182" t="s">
        <v>3</v>
      </c>
      <c r="D53" s="183">
        <f t="shared" ref="D53:L53" si="101">D9+D13+D17+D21+D25+D29+D33+D37+D41+D45+D47+D48+D49+D50+D51</f>
        <v>0</v>
      </c>
      <c r="E53" s="183">
        <f t="shared" si="101"/>
        <v>0</v>
      </c>
      <c r="F53" s="183">
        <f t="shared" si="101"/>
        <v>36772.290942911226</v>
      </c>
      <c r="G53" s="183">
        <f t="shared" si="101"/>
        <v>110316.87282873367</v>
      </c>
      <c r="H53" s="183">
        <f t="shared" si="101"/>
        <v>110316.87282873367</v>
      </c>
      <c r="I53" s="183">
        <f t="shared" si="101"/>
        <v>148080.71235951933</v>
      </c>
      <c r="J53" s="183">
        <f t="shared" si="101"/>
        <v>148080.71235951933</v>
      </c>
      <c r="K53" s="183">
        <f t="shared" si="101"/>
        <v>148080.71235951933</v>
      </c>
      <c r="L53" s="183">
        <f t="shared" si="101"/>
        <v>148080.71235951933</v>
      </c>
      <c r="M53" s="183">
        <f t="shared" ref="M53:R53" si="102">M9+M13+M17+M21+M25+M29+M33+M37+M41+M45+M47+M48+M49+M50+M51</f>
        <v>185873.75086925525</v>
      </c>
      <c r="N53" s="183">
        <f t="shared" si="102"/>
        <v>185873.75086925525</v>
      </c>
      <c r="O53" s="183">
        <f t="shared" si="102"/>
        <v>185873.75086925525</v>
      </c>
      <c r="P53" s="183">
        <f t="shared" si="102"/>
        <v>185873.75086925525</v>
      </c>
      <c r="Q53" s="183">
        <f t="shared" si="102"/>
        <v>185873.75086925525</v>
      </c>
      <c r="R53" s="183">
        <f t="shared" si="102"/>
        <v>185873.75086925525</v>
      </c>
      <c r="S53" s="183">
        <f t="shared" ref="S53" si="103">S9+S13+S17+S21+S25+S29+S33+S37+S41+S45+S47+S48+S49+S50+S51</f>
        <v>185873.75086925525</v>
      </c>
      <c r="T53" s="184"/>
    </row>
    <row r="54" spans="1:22" ht="4.5" customHeight="1" x14ac:dyDescent="0.35">
      <c r="A54" s="157"/>
      <c r="B54" s="158"/>
      <c r="C54" s="160"/>
      <c r="D54" s="160"/>
      <c r="E54" s="160"/>
      <c r="F54" s="160"/>
      <c r="G54" s="160"/>
      <c r="H54" s="160"/>
      <c r="I54" s="160"/>
      <c r="J54" s="160"/>
      <c r="K54" s="160"/>
      <c r="L54" s="160"/>
      <c r="M54" s="160"/>
      <c r="N54" s="160"/>
      <c r="O54" s="160"/>
      <c r="P54" s="160"/>
      <c r="Q54" s="160"/>
      <c r="R54" s="170"/>
      <c r="S54" s="170"/>
      <c r="T54" s="163"/>
    </row>
    <row r="55" spans="1:22"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2" ht="15.5" x14ac:dyDescent="0.35">
      <c r="A56" s="187" t="s">
        <v>9</v>
      </c>
      <c r="B56" s="186"/>
      <c r="C56" s="163"/>
      <c r="D56" s="730">
        <v>2024</v>
      </c>
      <c r="E56" s="730">
        <v>2025</v>
      </c>
      <c r="F56" s="730">
        <v>2026</v>
      </c>
      <c r="G56" s="730">
        <v>2027</v>
      </c>
      <c r="H56" s="730">
        <v>2028</v>
      </c>
      <c r="I56" s="730">
        <v>2029</v>
      </c>
      <c r="J56" s="730">
        <v>2030</v>
      </c>
      <c r="K56" s="730">
        <v>2031</v>
      </c>
      <c r="L56" s="730">
        <v>2032</v>
      </c>
      <c r="M56" s="730">
        <v>2033</v>
      </c>
      <c r="N56" s="730">
        <v>2034</v>
      </c>
      <c r="O56" s="730">
        <v>2035</v>
      </c>
      <c r="P56" s="730">
        <v>2036</v>
      </c>
      <c r="Q56" s="730">
        <v>2037</v>
      </c>
      <c r="R56" s="730">
        <v>2038</v>
      </c>
      <c r="S56" s="730">
        <v>2039</v>
      </c>
      <c r="T56" s="163"/>
    </row>
    <row r="57" spans="1:22" ht="4.5" customHeight="1" x14ac:dyDescent="0.35">
      <c r="A57" s="157"/>
      <c r="B57" s="158"/>
      <c r="C57" s="160"/>
      <c r="D57" s="160"/>
      <c r="E57" s="160"/>
      <c r="F57" s="160"/>
      <c r="G57" s="160"/>
      <c r="H57" s="160"/>
      <c r="I57" s="160"/>
      <c r="J57" s="160"/>
      <c r="K57" s="160"/>
      <c r="L57" s="160"/>
      <c r="M57" s="160"/>
      <c r="N57" s="160"/>
      <c r="O57" s="160"/>
      <c r="P57" s="160"/>
      <c r="Q57" s="160"/>
      <c r="R57" s="170"/>
      <c r="S57" s="170"/>
      <c r="T57" s="163"/>
    </row>
    <row r="58" spans="1:22" x14ac:dyDescent="0.35">
      <c r="A58" s="769" t="s">
        <v>10</v>
      </c>
      <c r="B58" s="171" t="str">
        <f>Kulud50!A26</f>
        <v>Haldusjuht</v>
      </c>
      <c r="C58" s="172" t="s">
        <v>3</v>
      </c>
      <c r="D58" s="173"/>
      <c r="E58" s="173"/>
      <c r="F58" s="173">
        <f>Kulud25!E26/1.338*6/12</f>
        <v>8454</v>
      </c>
      <c r="G58" s="173">
        <f>Kulud25!E26/1.338</f>
        <v>16908</v>
      </c>
      <c r="H58" s="173">
        <f t="shared" ref="H58:S58" si="104">G58</f>
        <v>16908</v>
      </c>
      <c r="I58" s="173">
        <f>Kulud50!E26/1.338</f>
        <v>16908</v>
      </c>
      <c r="J58" s="173">
        <f t="shared" si="104"/>
        <v>16908</v>
      </c>
      <c r="K58" s="173">
        <f t="shared" si="104"/>
        <v>16908</v>
      </c>
      <c r="L58" s="173">
        <f t="shared" si="104"/>
        <v>16908</v>
      </c>
      <c r="M58" s="173">
        <f>Kulud75!E26/1.338</f>
        <v>16908</v>
      </c>
      <c r="N58" s="173">
        <f t="shared" si="104"/>
        <v>16908</v>
      </c>
      <c r="O58" s="173">
        <f t="shared" si="104"/>
        <v>16908</v>
      </c>
      <c r="P58" s="173">
        <f t="shared" si="104"/>
        <v>16908</v>
      </c>
      <c r="Q58" s="173">
        <f t="shared" si="104"/>
        <v>16908</v>
      </c>
      <c r="R58" s="173">
        <f t="shared" si="104"/>
        <v>16908</v>
      </c>
      <c r="S58" s="173">
        <f t="shared" si="104"/>
        <v>16908</v>
      </c>
      <c r="T58" s="188"/>
      <c r="U58" s="188"/>
      <c r="V58" s="188"/>
    </row>
    <row r="59" spans="1:22" ht="13.5" customHeight="1" x14ac:dyDescent="0.35">
      <c r="A59" s="769"/>
      <c r="B59" s="171" t="str">
        <f>Kulud50!A27</f>
        <v>Majandusjuht</v>
      </c>
      <c r="C59" s="172" t="s">
        <v>3</v>
      </c>
      <c r="D59" s="173"/>
      <c r="E59" s="173"/>
      <c r="F59" s="173">
        <f>Kulud25!E27/1.338*6/12</f>
        <v>8454</v>
      </c>
      <c r="G59" s="173">
        <f>Kulud25!E27/1.338</f>
        <v>16908</v>
      </c>
      <c r="H59" s="173">
        <f t="shared" ref="H59:S59" si="105">G59</f>
        <v>16908</v>
      </c>
      <c r="I59" s="173">
        <f>Kulud50!E27/1.338</f>
        <v>16908</v>
      </c>
      <c r="J59" s="173">
        <f t="shared" si="105"/>
        <v>16908</v>
      </c>
      <c r="K59" s="173">
        <f t="shared" si="105"/>
        <v>16908</v>
      </c>
      <c r="L59" s="173">
        <f t="shared" si="105"/>
        <v>16908</v>
      </c>
      <c r="M59" s="173">
        <f>Kulud75!E27/1.338</f>
        <v>16908</v>
      </c>
      <c r="N59" s="173">
        <f t="shared" si="105"/>
        <v>16908</v>
      </c>
      <c r="O59" s="173">
        <f t="shared" si="105"/>
        <v>16908</v>
      </c>
      <c r="P59" s="173">
        <f t="shared" si="105"/>
        <v>16908</v>
      </c>
      <c r="Q59" s="173">
        <f t="shared" si="105"/>
        <v>16908</v>
      </c>
      <c r="R59" s="173">
        <f t="shared" si="105"/>
        <v>16908</v>
      </c>
      <c r="S59" s="173">
        <f t="shared" si="105"/>
        <v>16908</v>
      </c>
      <c r="T59" s="188"/>
      <c r="U59" s="189"/>
    </row>
    <row r="60" spans="1:22" x14ac:dyDescent="0.35">
      <c r="A60" s="769"/>
      <c r="B60" s="171" t="str">
        <f>Kulud50!A28</f>
        <v>Arendusjuht</v>
      </c>
      <c r="C60" s="172" t="s">
        <v>3</v>
      </c>
      <c r="D60" s="173"/>
      <c r="E60" s="173"/>
      <c r="F60" s="173">
        <f>Kulud25!E28/1.338*6/12</f>
        <v>8454</v>
      </c>
      <c r="G60" s="173">
        <f>Kulud25!E28/1.338</f>
        <v>16908</v>
      </c>
      <c r="H60" s="173">
        <f>G60</f>
        <v>16908</v>
      </c>
      <c r="I60" s="173">
        <f>Kulud50!E28/1.338</f>
        <v>16908</v>
      </c>
      <c r="J60" s="173">
        <f t="shared" ref="J60" si="106">I60</f>
        <v>16908</v>
      </c>
      <c r="K60" s="173">
        <f t="shared" ref="K60" si="107">J60</f>
        <v>16908</v>
      </c>
      <c r="L60" s="173">
        <f t="shared" ref="L60" si="108">K60</f>
        <v>16908</v>
      </c>
      <c r="M60" s="173">
        <f>Kulud75!E28/1.338</f>
        <v>16908</v>
      </c>
      <c r="N60" s="173">
        <f t="shared" ref="N60" si="109">M60</f>
        <v>16908</v>
      </c>
      <c r="O60" s="173">
        <f t="shared" ref="O60" si="110">N60</f>
        <v>16908</v>
      </c>
      <c r="P60" s="173">
        <f t="shared" ref="P60" si="111">O60</f>
        <v>16908</v>
      </c>
      <c r="Q60" s="173">
        <f t="shared" ref="Q60" si="112">P60</f>
        <v>16908</v>
      </c>
      <c r="R60" s="173">
        <f t="shared" ref="R60:S60" si="113">Q60</f>
        <v>16908</v>
      </c>
      <c r="S60" s="173">
        <f t="shared" si="113"/>
        <v>16908</v>
      </c>
      <c r="T60" s="188"/>
      <c r="U60" s="189"/>
    </row>
    <row r="61" spans="1:22" hidden="1" outlineLevel="1" x14ac:dyDescent="0.35">
      <c r="A61" s="769"/>
      <c r="B61" s="171"/>
      <c r="C61" s="172" t="s">
        <v>3</v>
      </c>
      <c r="D61" s="173"/>
      <c r="E61" s="173"/>
      <c r="F61" s="173"/>
      <c r="G61" s="173"/>
      <c r="H61" s="173"/>
      <c r="I61" s="173"/>
      <c r="J61" s="173"/>
      <c r="K61" s="173"/>
      <c r="L61" s="173"/>
      <c r="M61" s="173"/>
      <c r="N61" s="173"/>
      <c r="O61" s="173"/>
      <c r="P61" s="173"/>
      <c r="Q61" s="173"/>
      <c r="R61" s="173"/>
      <c r="S61" s="173"/>
      <c r="T61" s="188"/>
      <c r="U61" s="189"/>
    </row>
    <row r="62" spans="1:22" hidden="1" outlineLevel="1" x14ac:dyDescent="0.35">
      <c r="A62" s="769"/>
      <c r="B62" s="171" t="s">
        <v>11</v>
      </c>
      <c r="C62" s="172" t="s">
        <v>3</v>
      </c>
      <c r="D62" s="173"/>
      <c r="E62" s="173"/>
      <c r="F62" s="173"/>
      <c r="G62" s="173"/>
      <c r="H62" s="173"/>
      <c r="I62" s="173"/>
      <c r="J62" s="173"/>
      <c r="K62" s="173"/>
      <c r="L62" s="173"/>
      <c r="M62" s="173"/>
      <c r="N62" s="173"/>
      <c r="O62" s="173"/>
      <c r="P62" s="173"/>
      <c r="Q62" s="173"/>
      <c r="R62" s="173"/>
      <c r="S62" s="173"/>
      <c r="T62" s="188"/>
      <c r="U62" s="189"/>
    </row>
    <row r="63" spans="1:22" hidden="1" outlineLevel="1" x14ac:dyDescent="0.35">
      <c r="A63" s="769"/>
      <c r="B63" s="171" t="s">
        <v>12</v>
      </c>
      <c r="C63" s="172" t="s">
        <v>3</v>
      </c>
      <c r="D63" s="173"/>
      <c r="E63" s="173"/>
      <c r="F63" s="173"/>
      <c r="G63" s="173"/>
      <c r="H63" s="173"/>
      <c r="I63" s="173"/>
      <c r="J63" s="173"/>
      <c r="K63" s="173"/>
      <c r="L63" s="173"/>
      <c r="M63" s="173"/>
      <c r="N63" s="173"/>
      <c r="O63" s="173"/>
      <c r="P63" s="173"/>
      <c r="Q63" s="173"/>
      <c r="R63" s="173"/>
      <c r="S63" s="173"/>
      <c r="T63" s="188"/>
      <c r="U63" s="189"/>
    </row>
    <row r="64" spans="1:22" hidden="1" outlineLevel="1" x14ac:dyDescent="0.35">
      <c r="A64" s="769"/>
      <c r="B64" s="171" t="s">
        <v>13</v>
      </c>
      <c r="C64" s="172" t="s">
        <v>3</v>
      </c>
      <c r="D64" s="173"/>
      <c r="E64" s="173"/>
      <c r="F64" s="173"/>
      <c r="G64" s="173"/>
      <c r="H64" s="173"/>
      <c r="I64" s="173"/>
      <c r="J64" s="173"/>
      <c r="K64" s="173"/>
      <c r="L64" s="173"/>
      <c r="M64" s="173"/>
      <c r="N64" s="173"/>
      <c r="O64" s="173"/>
      <c r="P64" s="173"/>
      <c r="Q64" s="173"/>
      <c r="R64" s="173"/>
      <c r="S64" s="173"/>
      <c r="T64" s="188"/>
      <c r="U64" s="189"/>
    </row>
    <row r="65" spans="1:21" hidden="1" outlineLevel="1" x14ac:dyDescent="0.35">
      <c r="A65" s="769"/>
      <c r="B65" s="171" t="s">
        <v>14</v>
      </c>
      <c r="C65" s="172" t="s">
        <v>3</v>
      </c>
      <c r="D65" s="173"/>
      <c r="E65" s="173"/>
      <c r="F65" s="173"/>
      <c r="G65" s="173"/>
      <c r="H65" s="173"/>
      <c r="I65" s="173"/>
      <c r="J65" s="173"/>
      <c r="K65" s="173"/>
      <c r="L65" s="173"/>
      <c r="M65" s="173"/>
      <c r="N65" s="173"/>
      <c r="O65" s="173"/>
      <c r="P65" s="173"/>
      <c r="Q65" s="173"/>
      <c r="R65" s="173"/>
      <c r="S65" s="173"/>
      <c r="T65" s="188"/>
      <c r="U65" s="189"/>
    </row>
    <row r="66" spans="1:21" hidden="1" outlineLevel="1" x14ac:dyDescent="0.35">
      <c r="A66" s="769"/>
      <c r="B66" s="171" t="s">
        <v>15</v>
      </c>
      <c r="C66" s="172" t="s">
        <v>3</v>
      </c>
      <c r="D66" s="173"/>
      <c r="E66" s="173"/>
      <c r="F66" s="173"/>
      <c r="G66" s="173"/>
      <c r="H66" s="173"/>
      <c r="I66" s="173"/>
      <c r="J66" s="173"/>
      <c r="K66" s="173"/>
      <c r="L66" s="173"/>
      <c r="M66" s="173"/>
      <c r="N66" s="173"/>
      <c r="O66" s="173"/>
      <c r="P66" s="173"/>
      <c r="Q66" s="173"/>
      <c r="R66" s="173"/>
      <c r="S66" s="173"/>
      <c r="T66" s="188"/>
      <c r="U66" s="189"/>
    </row>
    <row r="67" spans="1:21" hidden="1" outlineLevel="1" x14ac:dyDescent="0.35">
      <c r="A67" s="769"/>
      <c r="B67" s="171" t="s">
        <v>16</v>
      </c>
      <c r="C67" s="172" t="s">
        <v>3</v>
      </c>
      <c r="D67" s="173"/>
      <c r="E67" s="173"/>
      <c r="F67" s="173"/>
      <c r="G67" s="173"/>
      <c r="H67" s="173"/>
      <c r="I67" s="173"/>
      <c r="J67" s="173"/>
      <c r="K67" s="173"/>
      <c r="L67" s="173"/>
      <c r="M67" s="173"/>
      <c r="N67" s="173"/>
      <c r="O67" s="173"/>
      <c r="P67" s="173"/>
      <c r="Q67" s="173"/>
      <c r="R67" s="173"/>
      <c r="S67" s="173"/>
      <c r="T67" s="188"/>
      <c r="U67" s="189"/>
    </row>
    <row r="68" spans="1:21" hidden="1" outlineLevel="1" x14ac:dyDescent="0.35">
      <c r="A68" s="769"/>
      <c r="B68" s="171" t="s">
        <v>37</v>
      </c>
      <c r="C68" s="172" t="s">
        <v>3</v>
      </c>
      <c r="D68" s="173"/>
      <c r="E68" s="173"/>
      <c r="F68" s="173"/>
      <c r="G68" s="173"/>
      <c r="H68" s="173"/>
      <c r="I68" s="173"/>
      <c r="J68" s="173"/>
      <c r="K68" s="173"/>
      <c r="L68" s="173"/>
      <c r="M68" s="173"/>
      <c r="N68" s="173"/>
      <c r="O68" s="173"/>
      <c r="P68" s="173"/>
      <c r="Q68" s="173"/>
      <c r="R68" s="173"/>
      <c r="S68" s="173"/>
      <c r="T68" s="188"/>
      <c r="U68" s="189"/>
    </row>
    <row r="69" spans="1:21" hidden="1" outlineLevel="1" x14ac:dyDescent="0.35">
      <c r="A69" s="769"/>
      <c r="B69" s="171" t="s">
        <v>38</v>
      </c>
      <c r="C69" s="172" t="s">
        <v>3</v>
      </c>
      <c r="D69" s="173"/>
      <c r="E69" s="173"/>
      <c r="F69" s="173"/>
      <c r="G69" s="173"/>
      <c r="H69" s="173"/>
      <c r="I69" s="173"/>
      <c r="J69" s="173"/>
      <c r="K69" s="173"/>
      <c r="L69" s="173"/>
      <c r="M69" s="173"/>
      <c r="N69" s="173"/>
      <c r="O69" s="173"/>
      <c r="P69" s="173"/>
      <c r="Q69" s="173"/>
      <c r="R69" s="173"/>
      <c r="S69" s="173"/>
      <c r="T69" s="188"/>
      <c r="U69" s="189"/>
    </row>
    <row r="70" spans="1:21" hidden="1" outlineLevel="1" x14ac:dyDescent="0.35">
      <c r="A70" s="769"/>
      <c r="B70" s="171" t="s">
        <v>39</v>
      </c>
      <c r="C70" s="172" t="s">
        <v>3</v>
      </c>
      <c r="D70" s="173"/>
      <c r="E70" s="173"/>
      <c r="F70" s="173"/>
      <c r="G70" s="173"/>
      <c r="H70" s="173"/>
      <c r="I70" s="173"/>
      <c r="J70" s="173"/>
      <c r="K70" s="173"/>
      <c r="L70" s="173"/>
      <c r="M70" s="173"/>
      <c r="N70" s="173"/>
      <c r="O70" s="173"/>
      <c r="P70" s="173"/>
      <c r="Q70" s="173"/>
      <c r="R70" s="173"/>
      <c r="S70" s="173"/>
      <c r="T70" s="188"/>
      <c r="U70" s="189"/>
    </row>
    <row r="71" spans="1:21" hidden="1" outlineLevel="1" x14ac:dyDescent="0.35">
      <c r="A71" s="769"/>
      <c r="B71" s="171" t="s">
        <v>40</v>
      </c>
      <c r="C71" s="172" t="s">
        <v>3</v>
      </c>
      <c r="D71" s="173"/>
      <c r="E71" s="173"/>
      <c r="F71" s="173"/>
      <c r="G71" s="173"/>
      <c r="H71" s="173"/>
      <c r="I71" s="173"/>
      <c r="J71" s="173"/>
      <c r="K71" s="173"/>
      <c r="L71" s="173"/>
      <c r="M71" s="173"/>
      <c r="N71" s="173"/>
      <c r="O71" s="173"/>
      <c r="P71" s="173"/>
      <c r="Q71" s="173"/>
      <c r="R71" s="173"/>
      <c r="S71" s="173"/>
      <c r="T71" s="188"/>
      <c r="U71" s="189"/>
    </row>
    <row r="72" spans="1:21" hidden="1" outlineLevel="1" x14ac:dyDescent="0.35">
      <c r="A72" s="769"/>
      <c r="B72" s="171" t="s">
        <v>41</v>
      </c>
      <c r="C72" s="172" t="s">
        <v>3</v>
      </c>
      <c r="D72" s="173"/>
      <c r="E72" s="173"/>
      <c r="F72" s="173"/>
      <c r="G72" s="173"/>
      <c r="H72" s="173"/>
      <c r="I72" s="173"/>
      <c r="J72" s="173"/>
      <c r="K72" s="173"/>
      <c r="L72" s="173"/>
      <c r="M72" s="173"/>
      <c r="N72" s="173"/>
      <c r="O72" s="173"/>
      <c r="P72" s="173"/>
      <c r="Q72" s="173"/>
      <c r="R72" s="173"/>
      <c r="S72" s="173"/>
      <c r="T72" s="188"/>
      <c r="U72" s="189"/>
    </row>
    <row r="73" spans="1:21" hidden="1" outlineLevel="1" x14ac:dyDescent="0.35">
      <c r="A73" s="769"/>
      <c r="B73" s="171" t="s">
        <v>42</v>
      </c>
      <c r="C73" s="172" t="s">
        <v>3</v>
      </c>
      <c r="D73" s="173"/>
      <c r="E73" s="173"/>
      <c r="F73" s="173"/>
      <c r="G73" s="173"/>
      <c r="H73" s="173"/>
      <c r="I73" s="173"/>
      <c r="J73" s="173"/>
      <c r="K73" s="173"/>
      <c r="L73" s="173"/>
      <c r="M73" s="173"/>
      <c r="N73" s="173"/>
      <c r="O73" s="173"/>
      <c r="P73" s="173"/>
      <c r="Q73" s="173"/>
      <c r="R73" s="173"/>
      <c r="S73" s="173"/>
      <c r="T73" s="188"/>
      <c r="U73" s="189"/>
    </row>
    <row r="74" spans="1:21" hidden="1" outlineLevel="1" x14ac:dyDescent="0.35">
      <c r="A74" s="769"/>
      <c r="B74" s="171" t="s">
        <v>43</v>
      </c>
      <c r="C74" s="172" t="s">
        <v>3</v>
      </c>
      <c r="D74" s="173"/>
      <c r="E74" s="173"/>
      <c r="F74" s="173"/>
      <c r="G74" s="173"/>
      <c r="H74" s="173"/>
      <c r="I74" s="173"/>
      <c r="J74" s="173"/>
      <c r="K74" s="173"/>
      <c r="L74" s="173"/>
      <c r="M74" s="173"/>
      <c r="N74" s="173"/>
      <c r="O74" s="173"/>
      <c r="P74" s="173"/>
      <c r="Q74" s="173"/>
      <c r="R74" s="173"/>
      <c r="S74" s="173"/>
      <c r="T74" s="188"/>
      <c r="U74" s="189"/>
    </row>
    <row r="75" spans="1:21" hidden="1" outlineLevel="1" x14ac:dyDescent="0.35">
      <c r="A75" s="769"/>
      <c r="B75" s="171" t="s">
        <v>44</v>
      </c>
      <c r="C75" s="172" t="s">
        <v>3</v>
      </c>
      <c r="D75" s="173"/>
      <c r="E75" s="173"/>
      <c r="F75" s="173"/>
      <c r="G75" s="173"/>
      <c r="H75" s="173"/>
      <c r="I75" s="173"/>
      <c r="J75" s="173"/>
      <c r="K75" s="173"/>
      <c r="L75" s="173"/>
      <c r="M75" s="173"/>
      <c r="N75" s="173"/>
      <c r="O75" s="173"/>
      <c r="P75" s="173"/>
      <c r="Q75" s="173"/>
      <c r="R75" s="173"/>
      <c r="S75" s="173"/>
      <c r="T75" s="188"/>
      <c r="U75" s="189"/>
    </row>
    <row r="76" spans="1:21" hidden="1" outlineLevel="1" x14ac:dyDescent="0.35">
      <c r="A76" s="769"/>
      <c r="B76" s="171" t="s">
        <v>45</v>
      </c>
      <c r="C76" s="172" t="s">
        <v>3</v>
      </c>
      <c r="D76" s="173"/>
      <c r="E76" s="173"/>
      <c r="F76" s="173"/>
      <c r="G76" s="173"/>
      <c r="H76" s="173"/>
      <c r="I76" s="173"/>
      <c r="J76" s="173"/>
      <c r="K76" s="173"/>
      <c r="L76" s="173"/>
      <c r="M76" s="173"/>
      <c r="N76" s="173"/>
      <c r="O76" s="173"/>
      <c r="P76" s="173"/>
      <c r="Q76" s="173"/>
      <c r="R76" s="173"/>
      <c r="S76" s="173"/>
      <c r="T76" s="188"/>
      <c r="U76" s="189"/>
    </row>
    <row r="77" spans="1:21" hidden="1" outlineLevel="1" x14ac:dyDescent="0.35">
      <c r="A77" s="769"/>
      <c r="B77" s="171" t="s">
        <v>46</v>
      </c>
      <c r="C77" s="172" t="s">
        <v>3</v>
      </c>
      <c r="D77" s="173"/>
      <c r="E77" s="173"/>
      <c r="F77" s="173"/>
      <c r="G77" s="173"/>
      <c r="H77" s="173"/>
      <c r="I77" s="173"/>
      <c r="J77" s="173"/>
      <c r="K77" s="173"/>
      <c r="L77" s="173"/>
      <c r="M77" s="173"/>
      <c r="N77" s="173"/>
      <c r="O77" s="173"/>
      <c r="P77" s="173"/>
      <c r="Q77" s="173"/>
      <c r="R77" s="173"/>
      <c r="S77" s="173"/>
      <c r="T77" s="188"/>
      <c r="U77" s="189"/>
    </row>
    <row r="78" spans="1:21" collapsed="1" x14ac:dyDescent="0.35">
      <c r="A78" s="769"/>
      <c r="B78" s="171" t="s">
        <v>18</v>
      </c>
      <c r="C78" s="172" t="s">
        <v>3</v>
      </c>
      <c r="D78" s="190">
        <f>SUM(D58:D77)</f>
        <v>0</v>
      </c>
      <c r="E78" s="190">
        <f t="shared" ref="E78:M78" si="114">SUM(E58:E77)</f>
        <v>0</v>
      </c>
      <c r="F78" s="190">
        <f t="shared" si="114"/>
        <v>25362</v>
      </c>
      <c r="G78" s="190">
        <f t="shared" si="114"/>
        <v>50724</v>
      </c>
      <c r="H78" s="190">
        <f t="shared" si="114"/>
        <v>50724</v>
      </c>
      <c r="I78" s="190">
        <f t="shared" si="114"/>
        <v>50724</v>
      </c>
      <c r="J78" s="190">
        <f t="shared" si="114"/>
        <v>50724</v>
      </c>
      <c r="K78" s="190">
        <f t="shared" si="114"/>
        <v>50724</v>
      </c>
      <c r="L78" s="190">
        <f t="shared" si="114"/>
        <v>50724</v>
      </c>
      <c r="M78" s="190">
        <f t="shared" si="114"/>
        <v>50724</v>
      </c>
      <c r="N78" s="190">
        <f t="shared" ref="N78:R78" si="115">SUM(N58:N77)</f>
        <v>50724</v>
      </c>
      <c r="O78" s="190">
        <f t="shared" si="115"/>
        <v>50724</v>
      </c>
      <c r="P78" s="190">
        <f t="shared" si="115"/>
        <v>50724</v>
      </c>
      <c r="Q78" s="190">
        <f t="shared" si="115"/>
        <v>50724</v>
      </c>
      <c r="R78" s="190">
        <f t="shared" si="115"/>
        <v>50724</v>
      </c>
      <c r="S78" s="190">
        <f t="shared" ref="S78" si="116">SUM(S58:S77)</f>
        <v>50724</v>
      </c>
      <c r="T78" s="188"/>
      <c r="U78" s="189"/>
    </row>
    <row r="79" spans="1:21" x14ac:dyDescent="0.35">
      <c r="A79" s="769"/>
      <c r="B79" s="171" t="s">
        <v>17</v>
      </c>
      <c r="C79" s="191"/>
      <c r="D79" s="190">
        <f>D78*Maksumäärad!B5</f>
        <v>0</v>
      </c>
      <c r="E79" s="190">
        <f>E78*Maksumäärad!C5</f>
        <v>0</v>
      </c>
      <c r="F79" s="190">
        <f>F78*Maksumäärad!D5</f>
        <v>8572.3559999999998</v>
      </c>
      <c r="G79" s="190">
        <f>G78*Maksumäärad!E5</f>
        <v>17144.712</v>
      </c>
      <c r="H79" s="190">
        <f>H78*Maksumäärad!F5</f>
        <v>17144.712</v>
      </c>
      <c r="I79" s="190">
        <f>I78*Maksumäärad!G5</f>
        <v>17144.712</v>
      </c>
      <c r="J79" s="190">
        <f>J78*Maksumäärad!H5</f>
        <v>17144.712</v>
      </c>
      <c r="K79" s="190">
        <f>K78*Maksumäärad!I5</f>
        <v>17144.712</v>
      </c>
      <c r="L79" s="190">
        <f>L78*Maksumäärad!J5</f>
        <v>17144.712</v>
      </c>
      <c r="M79" s="190">
        <f>M78*Maksumäärad!K5</f>
        <v>17144.712</v>
      </c>
      <c r="N79" s="190">
        <f>N78*Maksumäärad!L5</f>
        <v>17144.712</v>
      </c>
      <c r="O79" s="190">
        <f>O78*Maksumäärad!M5</f>
        <v>17144.712</v>
      </c>
      <c r="P79" s="190">
        <f>P78*Maksumäärad!N5</f>
        <v>17144.712</v>
      </c>
      <c r="Q79" s="190">
        <f>Q78*Maksumäärad!O5</f>
        <v>17144.712</v>
      </c>
      <c r="R79" s="190">
        <f>R78*Maksumäärad!P5</f>
        <v>17144.712</v>
      </c>
      <c r="S79" s="190">
        <f>SUM(R79)</f>
        <v>17144.712</v>
      </c>
      <c r="T79" s="188"/>
      <c r="U79" s="189"/>
    </row>
    <row r="80" spans="1:21" x14ac:dyDescent="0.35">
      <c r="A80" s="770" t="s">
        <v>19</v>
      </c>
      <c r="B80" s="771"/>
      <c r="C80" s="192"/>
      <c r="D80" s="193">
        <f t="shared" ref="D80:M80" si="117">SUM(D78:D79)</f>
        <v>0</v>
      </c>
      <c r="E80" s="193">
        <f t="shared" si="117"/>
        <v>0</v>
      </c>
      <c r="F80" s="193">
        <f t="shared" si="117"/>
        <v>33934.356</v>
      </c>
      <c r="G80" s="193">
        <f t="shared" si="117"/>
        <v>67868.712</v>
      </c>
      <c r="H80" s="193">
        <f t="shared" si="117"/>
        <v>67868.712</v>
      </c>
      <c r="I80" s="193">
        <f t="shared" si="117"/>
        <v>67868.712</v>
      </c>
      <c r="J80" s="193">
        <f t="shared" si="117"/>
        <v>67868.712</v>
      </c>
      <c r="K80" s="193">
        <f t="shared" si="117"/>
        <v>67868.712</v>
      </c>
      <c r="L80" s="193">
        <f t="shared" si="117"/>
        <v>67868.712</v>
      </c>
      <c r="M80" s="193">
        <f t="shared" si="117"/>
        <v>67868.712</v>
      </c>
      <c r="N80" s="193">
        <f t="shared" ref="N80:R80" si="118">SUM(N78:N79)</f>
        <v>67868.712</v>
      </c>
      <c r="O80" s="193">
        <f t="shared" si="118"/>
        <v>67868.712</v>
      </c>
      <c r="P80" s="193">
        <f t="shared" si="118"/>
        <v>67868.712</v>
      </c>
      <c r="Q80" s="193">
        <f t="shared" si="118"/>
        <v>67868.712</v>
      </c>
      <c r="R80" s="193">
        <f t="shared" si="118"/>
        <v>67868.712</v>
      </c>
      <c r="S80" s="193">
        <f t="shared" ref="S80" si="119">SUM(S78:S79)</f>
        <v>67868.712</v>
      </c>
      <c r="T80" s="188"/>
      <c r="U80" s="189"/>
    </row>
    <row r="81" spans="1:22" ht="4.5" customHeight="1" x14ac:dyDescent="0.35">
      <c r="A81" s="157"/>
      <c r="B81" s="158"/>
      <c r="C81" s="160"/>
      <c r="D81" s="194"/>
      <c r="E81" s="194"/>
      <c r="F81" s="194"/>
      <c r="G81" s="194"/>
      <c r="H81" s="194"/>
      <c r="I81" s="194"/>
      <c r="J81" s="194"/>
      <c r="K81" s="194"/>
      <c r="L81" s="194"/>
      <c r="M81" s="194"/>
      <c r="N81" s="194"/>
      <c r="O81" s="194"/>
      <c r="P81" s="194"/>
      <c r="Q81" s="194"/>
      <c r="R81" s="195"/>
      <c r="S81" s="195"/>
      <c r="T81" s="188"/>
      <c r="U81" s="189"/>
    </row>
    <row r="82" spans="1:22" x14ac:dyDescent="0.35">
      <c r="A82" s="769" t="s">
        <v>20</v>
      </c>
      <c r="B82" s="171" t="str">
        <f>Kulud50!A5</f>
        <v>Küte</v>
      </c>
      <c r="C82" s="172" t="s">
        <v>3</v>
      </c>
      <c r="D82" s="173"/>
      <c r="E82" s="173"/>
      <c r="F82" s="173">
        <f>Kulud25!E5*4/12</f>
        <v>1574.2779765333335</v>
      </c>
      <c r="G82" s="173">
        <f>Kulud25!E5</f>
        <v>4722.8339296000004</v>
      </c>
      <c r="H82" s="173">
        <f t="shared" ref="H82:S82" si="120">G82</f>
        <v>4722.8339296000004</v>
      </c>
      <c r="I82" s="173">
        <f>Kulud50!E5</f>
        <v>4722.8339296000013</v>
      </c>
      <c r="J82" s="173">
        <f t="shared" si="120"/>
        <v>4722.8339296000013</v>
      </c>
      <c r="K82" s="173">
        <f t="shared" si="120"/>
        <v>4722.8339296000013</v>
      </c>
      <c r="L82" s="173">
        <f t="shared" si="120"/>
        <v>4722.8339296000013</v>
      </c>
      <c r="M82" s="173">
        <f>Kulud75!E5</f>
        <v>4722.8339296000004</v>
      </c>
      <c r="N82" s="173">
        <f t="shared" si="120"/>
        <v>4722.8339296000004</v>
      </c>
      <c r="O82" s="173">
        <f t="shared" si="120"/>
        <v>4722.8339296000004</v>
      </c>
      <c r="P82" s="173">
        <f t="shared" si="120"/>
        <v>4722.8339296000004</v>
      </c>
      <c r="Q82" s="173">
        <f t="shared" si="120"/>
        <v>4722.8339296000004</v>
      </c>
      <c r="R82" s="173">
        <f t="shared" si="120"/>
        <v>4722.8339296000004</v>
      </c>
      <c r="S82" s="173">
        <f t="shared" si="120"/>
        <v>4722.8339296000004</v>
      </c>
      <c r="T82" s="188"/>
      <c r="U82" s="189"/>
    </row>
    <row r="83" spans="1:22" x14ac:dyDescent="0.35">
      <c r="A83" s="769"/>
      <c r="B83" s="171" t="str">
        <f>Kulud50!A14</f>
        <v>Elekter</v>
      </c>
      <c r="C83" s="172" t="s">
        <v>3</v>
      </c>
      <c r="D83" s="173"/>
      <c r="E83" s="173"/>
      <c r="F83" s="173">
        <f>Kulud25!E14*4/12</f>
        <v>257.08319999999998</v>
      </c>
      <c r="G83" s="173">
        <f>Kulud25!E14</f>
        <v>771.24959999999999</v>
      </c>
      <c r="H83" s="173">
        <f t="shared" ref="H83:S83" si="121">G83</f>
        <v>771.24959999999999</v>
      </c>
      <c r="I83" s="173">
        <f>Kulud50!E14</f>
        <v>811.49760000000026</v>
      </c>
      <c r="J83" s="173">
        <f t="shared" si="121"/>
        <v>811.49760000000026</v>
      </c>
      <c r="K83" s="173">
        <f t="shared" si="121"/>
        <v>811.49760000000026</v>
      </c>
      <c r="L83" s="173">
        <f t="shared" si="121"/>
        <v>811.49760000000026</v>
      </c>
      <c r="M83" s="173">
        <f>Kulud75!E14</f>
        <v>851.74559999999997</v>
      </c>
      <c r="N83" s="173">
        <f t="shared" si="121"/>
        <v>851.74559999999997</v>
      </c>
      <c r="O83" s="173">
        <f t="shared" si="121"/>
        <v>851.74559999999997</v>
      </c>
      <c r="P83" s="173">
        <f t="shared" si="121"/>
        <v>851.74559999999997</v>
      </c>
      <c r="Q83" s="173">
        <f t="shared" si="121"/>
        <v>851.74559999999997</v>
      </c>
      <c r="R83" s="173">
        <f t="shared" si="121"/>
        <v>851.74559999999997</v>
      </c>
      <c r="S83" s="173">
        <f t="shared" si="121"/>
        <v>851.74559999999997</v>
      </c>
      <c r="T83" s="188"/>
      <c r="U83" s="189"/>
    </row>
    <row r="84" spans="1:22" x14ac:dyDescent="0.35">
      <c r="A84" s="769"/>
      <c r="B84" s="171" t="str">
        <f>Kulud50!A20</f>
        <v>Vesi ja kanalisatsioon</v>
      </c>
      <c r="C84" s="172" t="s">
        <v>3</v>
      </c>
      <c r="D84" s="173"/>
      <c r="E84" s="173"/>
      <c r="F84" s="173">
        <f>Kulud25!E20*4/12</f>
        <v>887.8936920000001</v>
      </c>
      <c r="G84" s="173">
        <f>Kulud25!E20</f>
        <v>2663.6810760000003</v>
      </c>
      <c r="H84" s="173">
        <f t="shared" ref="H84:S87" si="122">G84</f>
        <v>2663.6810760000003</v>
      </c>
      <c r="I84" s="173">
        <f>Kulud50!E20</f>
        <v>2909.4957360000008</v>
      </c>
      <c r="J84" s="173">
        <f t="shared" si="122"/>
        <v>2909.4957360000008</v>
      </c>
      <c r="K84" s="173">
        <f t="shared" si="122"/>
        <v>2909.4957360000008</v>
      </c>
      <c r="L84" s="173">
        <f t="shared" si="122"/>
        <v>2909.4957360000008</v>
      </c>
      <c r="M84" s="173">
        <f>Kulud75!E20</f>
        <v>3155.3103959999999</v>
      </c>
      <c r="N84" s="173">
        <f t="shared" si="122"/>
        <v>3155.3103959999999</v>
      </c>
      <c r="O84" s="173">
        <f t="shared" si="122"/>
        <v>3155.3103959999999</v>
      </c>
      <c r="P84" s="173">
        <f t="shared" si="122"/>
        <v>3155.3103959999999</v>
      </c>
      <c r="Q84" s="173">
        <f t="shared" si="122"/>
        <v>3155.3103959999999</v>
      </c>
      <c r="R84" s="173">
        <f t="shared" si="122"/>
        <v>3155.3103959999999</v>
      </c>
      <c r="S84" s="173">
        <f t="shared" si="122"/>
        <v>3155.3103959999999</v>
      </c>
      <c r="T84" s="188"/>
      <c r="U84" s="189"/>
    </row>
    <row r="85" spans="1:22" x14ac:dyDescent="0.35">
      <c r="A85" s="769"/>
      <c r="B85" s="171" t="str">
        <f>Kulud50!A31</f>
        <v>Tehnohooldus</v>
      </c>
      <c r="C85" s="172" t="s">
        <v>3</v>
      </c>
      <c r="D85" s="173"/>
      <c r="E85" s="173"/>
      <c r="F85" s="173">
        <f>Kulud25!E31*4/12</f>
        <v>2800</v>
      </c>
      <c r="G85" s="173">
        <f>Kulud25!E31</f>
        <v>8400</v>
      </c>
      <c r="H85" s="173">
        <f t="shared" si="122"/>
        <v>8400</v>
      </c>
      <c r="I85" s="173">
        <f>Kulud50!E31</f>
        <v>8400</v>
      </c>
      <c r="J85" s="173">
        <f t="shared" si="122"/>
        <v>8400</v>
      </c>
      <c r="K85" s="173">
        <f t="shared" si="122"/>
        <v>8400</v>
      </c>
      <c r="L85" s="173">
        <f t="shared" si="122"/>
        <v>8400</v>
      </c>
      <c r="M85" s="173">
        <f>Kulud75!E31</f>
        <v>8400</v>
      </c>
      <c r="N85" s="173">
        <f t="shared" si="122"/>
        <v>8400</v>
      </c>
      <c r="O85" s="173">
        <f t="shared" si="122"/>
        <v>8400</v>
      </c>
      <c r="P85" s="173">
        <f t="shared" si="122"/>
        <v>8400</v>
      </c>
      <c r="Q85" s="173">
        <f t="shared" si="122"/>
        <v>8400</v>
      </c>
      <c r="R85" s="173">
        <f t="shared" si="122"/>
        <v>8400</v>
      </c>
      <c r="S85" s="173">
        <f t="shared" si="122"/>
        <v>8400</v>
      </c>
      <c r="T85" s="188"/>
      <c r="U85" s="189"/>
    </row>
    <row r="86" spans="1:22" x14ac:dyDescent="0.35">
      <c r="A86" s="769"/>
      <c r="B86" s="171" t="str">
        <f>Kulud50!A43</f>
        <v>Hooldus (hooned)</v>
      </c>
      <c r="C86" s="172" t="s">
        <v>3</v>
      </c>
      <c r="D86" s="173"/>
      <c r="E86" s="173"/>
      <c r="F86" s="173">
        <f>Kulud25!E43*4/12</f>
        <v>3040</v>
      </c>
      <c r="G86" s="173">
        <f>Kulud25!E43</f>
        <v>9120</v>
      </c>
      <c r="H86" s="173">
        <f t="shared" si="122"/>
        <v>9120</v>
      </c>
      <c r="I86" s="173">
        <f>Kulud50!E43</f>
        <v>9120</v>
      </c>
      <c r="J86" s="173">
        <f t="shared" si="122"/>
        <v>9120</v>
      </c>
      <c r="K86" s="173">
        <f t="shared" si="122"/>
        <v>9120</v>
      </c>
      <c r="L86" s="173">
        <f t="shared" si="122"/>
        <v>9120</v>
      </c>
      <c r="M86" s="173">
        <f>Kulud75!E43</f>
        <v>9120</v>
      </c>
      <c r="N86" s="173">
        <f t="shared" si="122"/>
        <v>9120</v>
      </c>
      <c r="O86" s="173">
        <f t="shared" si="122"/>
        <v>9120</v>
      </c>
      <c r="P86" s="173">
        <f t="shared" si="122"/>
        <v>9120</v>
      </c>
      <c r="Q86" s="173">
        <f t="shared" si="122"/>
        <v>9120</v>
      </c>
      <c r="R86" s="173">
        <f t="shared" si="122"/>
        <v>9120</v>
      </c>
      <c r="S86" s="173">
        <f t="shared" si="122"/>
        <v>9120</v>
      </c>
      <c r="T86" s="188"/>
      <c r="U86" s="189"/>
    </row>
    <row r="87" spans="1:22" x14ac:dyDescent="0.35">
      <c r="A87" s="769"/>
      <c r="B87" s="171" t="str">
        <f>Kulud50!A48</f>
        <v>Hooldus (territoorium)</v>
      </c>
      <c r="C87" s="172" t="s">
        <v>3</v>
      </c>
      <c r="D87" s="173"/>
      <c r="E87" s="173"/>
      <c r="F87" s="173">
        <f>Kulud25!E48*4/12</f>
        <v>2155.6666666666665</v>
      </c>
      <c r="G87" s="173">
        <f>Kulud25!E48</f>
        <v>6467</v>
      </c>
      <c r="H87" s="173">
        <f t="shared" si="122"/>
        <v>6467</v>
      </c>
      <c r="I87" s="173">
        <f>Kulud50!E48</f>
        <v>6467</v>
      </c>
      <c r="J87" s="173">
        <f t="shared" si="122"/>
        <v>6467</v>
      </c>
      <c r="K87" s="173">
        <f t="shared" si="122"/>
        <v>6467</v>
      </c>
      <c r="L87" s="173">
        <f t="shared" si="122"/>
        <v>6467</v>
      </c>
      <c r="M87" s="173">
        <f>Kulud75!E48</f>
        <v>6467</v>
      </c>
      <c r="N87" s="173">
        <f t="shared" si="122"/>
        <v>6467</v>
      </c>
      <c r="O87" s="173">
        <f t="shared" si="122"/>
        <v>6467</v>
      </c>
      <c r="P87" s="173">
        <f t="shared" si="122"/>
        <v>6467</v>
      </c>
      <c r="Q87" s="173">
        <f t="shared" si="122"/>
        <v>6467</v>
      </c>
      <c r="R87" s="173">
        <f t="shared" si="122"/>
        <v>6467</v>
      </c>
      <c r="S87" s="173">
        <f t="shared" si="122"/>
        <v>6467</v>
      </c>
      <c r="T87" s="188"/>
      <c r="U87" s="189"/>
    </row>
    <row r="88" spans="1:22" hidden="1" x14ac:dyDescent="0.35">
      <c r="A88" s="769"/>
      <c r="B88" s="171" t="s">
        <v>47</v>
      </c>
      <c r="C88" s="172" t="s">
        <v>3</v>
      </c>
      <c r="D88" s="173"/>
      <c r="E88" s="173"/>
      <c r="F88" s="173"/>
      <c r="G88" s="173"/>
      <c r="H88" s="173"/>
      <c r="I88" s="173"/>
      <c r="J88" s="173"/>
      <c r="K88" s="173"/>
      <c r="L88" s="173"/>
      <c r="M88" s="173"/>
      <c r="N88" s="173"/>
      <c r="O88" s="173"/>
      <c r="P88" s="173"/>
      <c r="Q88" s="173"/>
      <c r="R88" s="173"/>
      <c r="S88" s="173"/>
      <c r="T88" s="188"/>
      <c r="U88" s="189"/>
    </row>
    <row r="89" spans="1:22" hidden="1" x14ac:dyDescent="0.35">
      <c r="A89" s="769"/>
      <c r="B89" s="171" t="s">
        <v>48</v>
      </c>
      <c r="C89" s="172" t="s">
        <v>3</v>
      </c>
      <c r="D89" s="173"/>
      <c r="E89" s="173"/>
      <c r="F89" s="173"/>
      <c r="G89" s="173"/>
      <c r="H89" s="173"/>
      <c r="I89" s="173"/>
      <c r="J89" s="173"/>
      <c r="K89" s="173"/>
      <c r="L89" s="173"/>
      <c r="M89" s="173"/>
      <c r="N89" s="173"/>
      <c r="O89" s="173"/>
      <c r="P89" s="173"/>
      <c r="Q89" s="173"/>
      <c r="R89" s="173"/>
      <c r="S89" s="173"/>
      <c r="T89" s="188"/>
      <c r="U89" s="189"/>
    </row>
    <row r="90" spans="1:22" hidden="1" x14ac:dyDescent="0.35">
      <c r="A90" s="769"/>
      <c r="B90" s="171" t="s">
        <v>49</v>
      </c>
      <c r="C90" s="172" t="s">
        <v>3</v>
      </c>
      <c r="D90" s="173"/>
      <c r="E90" s="173"/>
      <c r="F90" s="173"/>
      <c r="G90" s="173"/>
      <c r="H90" s="173"/>
      <c r="I90" s="173"/>
      <c r="J90" s="173"/>
      <c r="K90" s="173"/>
      <c r="L90" s="173"/>
      <c r="M90" s="173"/>
      <c r="N90" s="173"/>
      <c r="O90" s="173"/>
      <c r="P90" s="173"/>
      <c r="Q90" s="173"/>
      <c r="R90" s="173"/>
      <c r="S90" s="173"/>
      <c r="T90" s="188"/>
      <c r="U90" s="189"/>
    </row>
    <row r="91" spans="1:22" hidden="1" x14ac:dyDescent="0.35">
      <c r="A91" s="769"/>
      <c r="B91" s="171" t="s">
        <v>50</v>
      </c>
      <c r="C91" s="172" t="s">
        <v>3</v>
      </c>
      <c r="D91" s="173"/>
      <c r="E91" s="173"/>
      <c r="F91" s="173"/>
      <c r="G91" s="173"/>
      <c r="H91" s="173"/>
      <c r="I91" s="173"/>
      <c r="J91" s="173"/>
      <c r="K91" s="173"/>
      <c r="L91" s="173"/>
      <c r="M91" s="173"/>
      <c r="N91" s="173"/>
      <c r="O91" s="173"/>
      <c r="P91" s="173"/>
      <c r="Q91" s="173"/>
      <c r="R91" s="173"/>
      <c r="S91" s="173"/>
      <c r="T91" s="188"/>
      <c r="U91" s="189"/>
    </row>
    <row r="92" spans="1:22" x14ac:dyDescent="0.35">
      <c r="A92" s="770" t="s">
        <v>21</v>
      </c>
      <c r="B92" s="771"/>
      <c r="C92" s="192"/>
      <c r="D92" s="193">
        <f t="shared" ref="D92:R92" si="123">SUM(D82:D91)</f>
        <v>0</v>
      </c>
      <c r="E92" s="193">
        <f t="shared" si="123"/>
        <v>0</v>
      </c>
      <c r="F92" s="193">
        <f t="shared" si="123"/>
        <v>10714.921535199999</v>
      </c>
      <c r="G92" s="193">
        <f t="shared" si="123"/>
        <v>32144.764605600001</v>
      </c>
      <c r="H92" s="193">
        <f t="shared" si="123"/>
        <v>32144.764605600001</v>
      </c>
      <c r="I92" s="193">
        <f t="shared" si="123"/>
        <v>32430.827265600004</v>
      </c>
      <c r="J92" s="193">
        <f t="shared" si="123"/>
        <v>32430.827265600004</v>
      </c>
      <c r="K92" s="193">
        <f t="shared" si="123"/>
        <v>32430.827265600004</v>
      </c>
      <c r="L92" s="193">
        <f t="shared" si="123"/>
        <v>32430.827265600004</v>
      </c>
      <c r="M92" s="193">
        <f t="shared" si="123"/>
        <v>32716.8899256</v>
      </c>
      <c r="N92" s="193">
        <f t="shared" si="123"/>
        <v>32716.8899256</v>
      </c>
      <c r="O92" s="193">
        <f t="shared" si="123"/>
        <v>32716.8899256</v>
      </c>
      <c r="P92" s="193">
        <f t="shared" si="123"/>
        <v>32716.8899256</v>
      </c>
      <c r="Q92" s="193">
        <f t="shared" si="123"/>
        <v>32716.8899256</v>
      </c>
      <c r="R92" s="193">
        <f t="shared" si="123"/>
        <v>32716.8899256</v>
      </c>
      <c r="S92" s="193">
        <f t="shared" ref="S92" si="124">SUM(S82:S91)</f>
        <v>32716.8899256</v>
      </c>
      <c r="T92" s="188"/>
      <c r="U92" s="189"/>
    </row>
    <row r="93" spans="1:22" ht="4.5" customHeight="1" x14ac:dyDescent="0.35">
      <c r="A93" s="157"/>
      <c r="B93" s="158"/>
      <c r="C93" s="160"/>
      <c r="D93" s="194"/>
      <c r="E93" s="194"/>
      <c r="F93" s="194"/>
      <c r="G93" s="194"/>
      <c r="H93" s="194"/>
      <c r="I93" s="194"/>
      <c r="J93" s="194"/>
      <c r="K93" s="194"/>
      <c r="L93" s="194"/>
      <c r="M93" s="194"/>
      <c r="N93" s="194"/>
      <c r="O93" s="194"/>
      <c r="P93" s="194"/>
      <c r="Q93" s="194"/>
      <c r="R93" s="195"/>
      <c r="S93" s="195"/>
      <c r="T93" s="188"/>
      <c r="U93" s="189"/>
    </row>
    <row r="94" spans="1:22" x14ac:dyDescent="0.35">
      <c r="A94" s="772" t="s">
        <v>22</v>
      </c>
      <c r="B94" s="616" t="str">
        <f>Kulud50!A36</f>
        <v>Turundus</v>
      </c>
      <c r="C94" s="172" t="s">
        <v>3</v>
      </c>
      <c r="D94" s="173"/>
      <c r="E94" s="173"/>
      <c r="F94" s="173">
        <f>Kulud25!E36*4/12</f>
        <v>12000</v>
      </c>
      <c r="G94" s="173">
        <f>Kulud25!E36</f>
        <v>36000</v>
      </c>
      <c r="H94" s="173">
        <f t="shared" ref="H94:S94" si="125">G94</f>
        <v>36000</v>
      </c>
      <c r="I94" s="173">
        <f>Kulud50!E36</f>
        <v>36000</v>
      </c>
      <c r="J94" s="173">
        <f t="shared" si="125"/>
        <v>36000</v>
      </c>
      <c r="K94" s="173">
        <f t="shared" si="125"/>
        <v>36000</v>
      </c>
      <c r="L94" s="173">
        <f t="shared" si="125"/>
        <v>36000</v>
      </c>
      <c r="M94" s="173">
        <f>Kulud75!E36</f>
        <v>31000</v>
      </c>
      <c r="N94" s="173">
        <f t="shared" si="125"/>
        <v>31000</v>
      </c>
      <c r="O94" s="173">
        <f t="shared" si="125"/>
        <v>31000</v>
      </c>
      <c r="P94" s="173">
        <f t="shared" si="125"/>
        <v>31000</v>
      </c>
      <c r="Q94" s="173">
        <f t="shared" si="125"/>
        <v>31000</v>
      </c>
      <c r="R94" s="173">
        <f t="shared" si="125"/>
        <v>31000</v>
      </c>
      <c r="S94" s="173">
        <f t="shared" si="125"/>
        <v>31000</v>
      </c>
      <c r="T94" s="188"/>
      <c r="U94" s="189"/>
      <c r="V94" s="695"/>
    </row>
    <row r="95" spans="1:22" hidden="1" x14ac:dyDescent="0.35">
      <c r="A95" s="773"/>
      <c r="B95" s="171">
        <f>Kulud50!A38</f>
        <v>0</v>
      </c>
      <c r="C95" s="172" t="s">
        <v>3</v>
      </c>
      <c r="D95" s="173">
        <f>Kulud50!E38</f>
        <v>0</v>
      </c>
      <c r="E95" s="173">
        <f>D95</f>
        <v>0</v>
      </c>
      <c r="F95" s="173">
        <f t="shared" ref="F95:S95" si="126">E95</f>
        <v>0</v>
      </c>
      <c r="G95" s="173">
        <f t="shared" si="126"/>
        <v>0</v>
      </c>
      <c r="H95" s="173">
        <f t="shared" si="126"/>
        <v>0</v>
      </c>
      <c r="I95" s="173">
        <f t="shared" si="126"/>
        <v>0</v>
      </c>
      <c r="J95" s="173">
        <f t="shared" si="126"/>
        <v>0</v>
      </c>
      <c r="K95" s="173">
        <f t="shared" si="126"/>
        <v>0</v>
      </c>
      <c r="L95" s="173">
        <f t="shared" si="126"/>
        <v>0</v>
      </c>
      <c r="M95" s="173">
        <f t="shared" si="126"/>
        <v>0</v>
      </c>
      <c r="N95" s="173">
        <f t="shared" si="126"/>
        <v>0</v>
      </c>
      <c r="O95" s="173">
        <f t="shared" si="126"/>
        <v>0</v>
      </c>
      <c r="P95" s="173">
        <f t="shared" si="126"/>
        <v>0</v>
      </c>
      <c r="Q95" s="173">
        <f t="shared" si="126"/>
        <v>0</v>
      </c>
      <c r="R95" s="173">
        <f t="shared" si="126"/>
        <v>0</v>
      </c>
      <c r="S95" s="173">
        <f t="shared" si="126"/>
        <v>0</v>
      </c>
      <c r="T95" s="188"/>
      <c r="U95" s="189"/>
    </row>
    <row r="96" spans="1:22" hidden="1" x14ac:dyDescent="0.35">
      <c r="A96" s="773"/>
      <c r="B96" s="171">
        <f>Kulud50!A39</f>
        <v>0</v>
      </c>
      <c r="C96" s="172" t="s">
        <v>3</v>
      </c>
      <c r="D96" s="173">
        <f>Kulud50!E39</f>
        <v>0</v>
      </c>
      <c r="E96" s="173">
        <f t="shared" ref="E96:S98" si="127">D96</f>
        <v>0</v>
      </c>
      <c r="F96" s="173">
        <f t="shared" si="127"/>
        <v>0</v>
      </c>
      <c r="G96" s="173">
        <f t="shared" si="127"/>
        <v>0</v>
      </c>
      <c r="H96" s="173">
        <f t="shared" si="127"/>
        <v>0</v>
      </c>
      <c r="I96" s="173">
        <f t="shared" si="127"/>
        <v>0</v>
      </c>
      <c r="J96" s="173">
        <f t="shared" si="127"/>
        <v>0</v>
      </c>
      <c r="K96" s="173">
        <f t="shared" si="127"/>
        <v>0</v>
      </c>
      <c r="L96" s="173">
        <f t="shared" si="127"/>
        <v>0</v>
      </c>
      <c r="M96" s="173">
        <f t="shared" si="127"/>
        <v>0</v>
      </c>
      <c r="N96" s="173">
        <f t="shared" si="127"/>
        <v>0</v>
      </c>
      <c r="O96" s="173">
        <f t="shared" si="127"/>
        <v>0</v>
      </c>
      <c r="P96" s="173">
        <f t="shared" si="127"/>
        <v>0</v>
      </c>
      <c r="Q96" s="173">
        <f t="shared" si="127"/>
        <v>0</v>
      </c>
      <c r="R96" s="173">
        <f t="shared" si="127"/>
        <v>0</v>
      </c>
      <c r="S96" s="173">
        <f t="shared" si="127"/>
        <v>0</v>
      </c>
      <c r="T96" s="188"/>
      <c r="U96" s="189"/>
    </row>
    <row r="97" spans="1:21" hidden="1" x14ac:dyDescent="0.35">
      <c r="A97" s="773"/>
      <c r="B97" s="171">
        <f>Kulud50!A40</f>
        <v>0</v>
      </c>
      <c r="C97" s="172" t="s">
        <v>3</v>
      </c>
      <c r="D97" s="173">
        <f>Kulud50!E40</f>
        <v>0</v>
      </c>
      <c r="E97" s="173">
        <f t="shared" si="127"/>
        <v>0</v>
      </c>
      <c r="F97" s="173">
        <f t="shared" si="127"/>
        <v>0</v>
      </c>
      <c r="G97" s="173">
        <f t="shared" si="127"/>
        <v>0</v>
      </c>
      <c r="H97" s="173">
        <f t="shared" si="127"/>
        <v>0</v>
      </c>
      <c r="I97" s="173">
        <f t="shared" si="127"/>
        <v>0</v>
      </c>
      <c r="J97" s="173">
        <f t="shared" si="127"/>
        <v>0</v>
      </c>
      <c r="K97" s="173">
        <f t="shared" si="127"/>
        <v>0</v>
      </c>
      <c r="L97" s="173">
        <f t="shared" si="127"/>
        <v>0</v>
      </c>
      <c r="M97" s="173">
        <f t="shared" si="127"/>
        <v>0</v>
      </c>
      <c r="N97" s="173">
        <f t="shared" si="127"/>
        <v>0</v>
      </c>
      <c r="O97" s="173">
        <f t="shared" si="127"/>
        <v>0</v>
      </c>
      <c r="P97" s="173">
        <f t="shared" si="127"/>
        <v>0</v>
      </c>
      <c r="Q97" s="173">
        <f t="shared" si="127"/>
        <v>0</v>
      </c>
      <c r="R97" s="173">
        <f t="shared" si="127"/>
        <v>0</v>
      </c>
      <c r="S97" s="173">
        <f t="shared" si="127"/>
        <v>0</v>
      </c>
      <c r="T97" s="188"/>
      <c r="U97" s="189"/>
    </row>
    <row r="98" spans="1:21" hidden="1" x14ac:dyDescent="0.35">
      <c r="A98" s="773"/>
      <c r="B98" s="171">
        <f>Kulud50!A41</f>
        <v>0</v>
      </c>
      <c r="C98" s="172" t="s">
        <v>3</v>
      </c>
      <c r="D98" s="173">
        <f>Kulud50!E41</f>
        <v>0</v>
      </c>
      <c r="E98" s="173">
        <f t="shared" si="127"/>
        <v>0</v>
      </c>
      <c r="F98" s="173">
        <f t="shared" si="127"/>
        <v>0</v>
      </c>
      <c r="G98" s="173">
        <f t="shared" si="127"/>
        <v>0</v>
      </c>
      <c r="H98" s="173">
        <f t="shared" si="127"/>
        <v>0</v>
      </c>
      <c r="I98" s="173">
        <f t="shared" si="127"/>
        <v>0</v>
      </c>
      <c r="J98" s="173">
        <f t="shared" si="127"/>
        <v>0</v>
      </c>
      <c r="K98" s="173">
        <f t="shared" si="127"/>
        <v>0</v>
      </c>
      <c r="L98" s="173">
        <f t="shared" si="127"/>
        <v>0</v>
      </c>
      <c r="M98" s="173">
        <f t="shared" si="127"/>
        <v>0</v>
      </c>
      <c r="N98" s="173">
        <f t="shared" si="127"/>
        <v>0</v>
      </c>
      <c r="O98" s="173">
        <f t="shared" si="127"/>
        <v>0</v>
      </c>
      <c r="P98" s="173">
        <f t="shared" si="127"/>
        <v>0</v>
      </c>
      <c r="Q98" s="173">
        <f t="shared" si="127"/>
        <v>0</v>
      </c>
      <c r="R98" s="173">
        <f t="shared" si="127"/>
        <v>0</v>
      </c>
      <c r="S98" s="173">
        <f t="shared" si="127"/>
        <v>0</v>
      </c>
      <c r="T98" s="188"/>
      <c r="U98" s="189"/>
    </row>
    <row r="99" spans="1:21" hidden="1" outlineLevel="1" x14ac:dyDescent="0.35">
      <c r="A99" s="773"/>
      <c r="B99" s="171" t="s">
        <v>23</v>
      </c>
      <c r="C99" s="172" t="s">
        <v>3</v>
      </c>
      <c r="D99" s="173"/>
      <c r="E99" s="173"/>
      <c r="F99" s="173"/>
      <c r="G99" s="173"/>
      <c r="H99" s="173"/>
      <c r="I99" s="173"/>
      <c r="J99" s="173"/>
      <c r="K99" s="173"/>
      <c r="L99" s="173"/>
      <c r="M99" s="173"/>
      <c r="N99" s="173"/>
      <c r="O99" s="173"/>
      <c r="P99" s="173"/>
      <c r="Q99" s="173"/>
      <c r="R99" s="173"/>
      <c r="S99" s="173"/>
      <c r="T99" s="188"/>
      <c r="U99" s="189"/>
    </row>
    <row r="100" spans="1:21" hidden="1" outlineLevel="1" x14ac:dyDescent="0.35">
      <c r="A100" s="773"/>
      <c r="B100" s="171" t="s">
        <v>24</v>
      </c>
      <c r="C100" s="172" t="s">
        <v>3</v>
      </c>
      <c r="D100" s="173"/>
      <c r="E100" s="173"/>
      <c r="F100" s="173"/>
      <c r="G100" s="173"/>
      <c r="H100" s="173"/>
      <c r="I100" s="173"/>
      <c r="J100" s="173"/>
      <c r="K100" s="173"/>
      <c r="L100" s="173"/>
      <c r="M100" s="173"/>
      <c r="N100" s="173"/>
      <c r="O100" s="173"/>
      <c r="P100" s="173"/>
      <c r="Q100" s="173"/>
      <c r="R100" s="173"/>
      <c r="S100" s="173"/>
      <c r="T100" s="188"/>
      <c r="U100" s="189"/>
    </row>
    <row r="101" spans="1:21" hidden="1" outlineLevel="1" x14ac:dyDescent="0.35">
      <c r="A101" s="773"/>
      <c r="B101" s="171" t="s">
        <v>25</v>
      </c>
      <c r="C101" s="172" t="s">
        <v>3</v>
      </c>
      <c r="D101" s="173"/>
      <c r="E101" s="173"/>
      <c r="F101" s="173"/>
      <c r="G101" s="173"/>
      <c r="H101" s="173"/>
      <c r="I101" s="173"/>
      <c r="J101" s="173"/>
      <c r="K101" s="173"/>
      <c r="L101" s="173"/>
      <c r="M101" s="173"/>
      <c r="N101" s="173"/>
      <c r="O101" s="173"/>
      <c r="P101" s="173"/>
      <c r="Q101" s="173"/>
      <c r="R101" s="173"/>
      <c r="S101" s="173"/>
      <c r="T101" s="188"/>
      <c r="U101" s="189"/>
    </row>
    <row r="102" spans="1:21" hidden="1" outlineLevel="1" x14ac:dyDescent="0.35">
      <c r="A102" s="773"/>
      <c r="B102" s="171" t="s">
        <v>26</v>
      </c>
      <c r="C102" s="172" t="s">
        <v>3</v>
      </c>
      <c r="D102" s="173"/>
      <c r="E102" s="173"/>
      <c r="F102" s="173"/>
      <c r="G102" s="173"/>
      <c r="H102" s="173"/>
      <c r="I102" s="173"/>
      <c r="J102" s="173"/>
      <c r="K102" s="173"/>
      <c r="L102" s="173"/>
      <c r="M102" s="173"/>
      <c r="N102" s="173"/>
      <c r="O102" s="173"/>
      <c r="P102" s="173"/>
      <c r="Q102" s="173"/>
      <c r="R102" s="173"/>
      <c r="S102" s="173"/>
      <c r="T102" s="188"/>
      <c r="U102" s="189"/>
    </row>
    <row r="103" spans="1:21" hidden="1" outlineLevel="1" x14ac:dyDescent="0.35">
      <c r="A103" s="774"/>
      <c r="B103" s="171" t="s">
        <v>27</v>
      </c>
      <c r="C103" s="172" t="s">
        <v>3</v>
      </c>
      <c r="D103" s="173"/>
      <c r="E103" s="173"/>
      <c r="F103" s="173"/>
      <c r="G103" s="173"/>
      <c r="H103" s="173"/>
      <c r="I103" s="173"/>
      <c r="J103" s="173"/>
      <c r="K103" s="173"/>
      <c r="L103" s="173"/>
      <c r="M103" s="173"/>
      <c r="N103" s="173"/>
      <c r="O103" s="173"/>
      <c r="P103" s="173"/>
      <c r="Q103" s="173"/>
      <c r="R103" s="173"/>
      <c r="S103" s="173"/>
      <c r="T103" s="188"/>
      <c r="U103" s="189"/>
    </row>
    <row r="104" spans="1:21" s="198" customFormat="1" collapsed="1" x14ac:dyDescent="0.35">
      <c r="A104" s="770" t="s">
        <v>28</v>
      </c>
      <c r="B104" s="771"/>
      <c r="C104" s="192"/>
      <c r="D104" s="193">
        <f t="shared" ref="D104:R104" si="128">SUM(D94:D103)</f>
        <v>0</v>
      </c>
      <c r="E104" s="193">
        <f t="shared" si="128"/>
        <v>0</v>
      </c>
      <c r="F104" s="193">
        <f t="shared" si="128"/>
        <v>12000</v>
      </c>
      <c r="G104" s="193">
        <f t="shared" si="128"/>
        <v>36000</v>
      </c>
      <c r="H104" s="193">
        <f t="shared" si="128"/>
        <v>36000</v>
      </c>
      <c r="I104" s="193">
        <f t="shared" si="128"/>
        <v>36000</v>
      </c>
      <c r="J104" s="193">
        <f t="shared" si="128"/>
        <v>36000</v>
      </c>
      <c r="K104" s="193">
        <f t="shared" si="128"/>
        <v>36000</v>
      </c>
      <c r="L104" s="193">
        <f t="shared" si="128"/>
        <v>36000</v>
      </c>
      <c r="M104" s="193">
        <f t="shared" si="128"/>
        <v>31000</v>
      </c>
      <c r="N104" s="193">
        <f t="shared" si="128"/>
        <v>31000</v>
      </c>
      <c r="O104" s="193">
        <f t="shared" si="128"/>
        <v>31000</v>
      </c>
      <c r="P104" s="193">
        <f t="shared" si="128"/>
        <v>31000</v>
      </c>
      <c r="Q104" s="193">
        <f t="shared" si="128"/>
        <v>31000</v>
      </c>
      <c r="R104" s="193">
        <f t="shared" si="128"/>
        <v>31000</v>
      </c>
      <c r="S104" s="193">
        <f t="shared" ref="S104" si="129">SUM(S94:S103)</f>
        <v>31000</v>
      </c>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95"/>
      <c r="T105" s="188"/>
      <c r="U105" s="189"/>
    </row>
    <row r="106" spans="1:21" ht="16.5" customHeight="1" x14ac:dyDescent="0.35">
      <c r="A106" s="768" t="str">
        <f>Kulud50!A29</f>
        <v>Remonditööd</v>
      </c>
      <c r="B106" s="768"/>
      <c r="C106" s="172" t="s">
        <v>3</v>
      </c>
      <c r="D106" s="173"/>
      <c r="E106" s="173"/>
      <c r="F106" s="173">
        <f>Kulud25!E29*4/12</f>
        <v>1800</v>
      </c>
      <c r="G106" s="173">
        <f>Kulud25!E29</f>
        <v>5400</v>
      </c>
      <c r="H106" s="173">
        <f t="shared" ref="H106:S106" si="130">G106</f>
        <v>5400</v>
      </c>
      <c r="I106" s="173">
        <f>Kulud50!E29</f>
        <v>5400</v>
      </c>
      <c r="J106" s="173">
        <f t="shared" si="130"/>
        <v>5400</v>
      </c>
      <c r="K106" s="173">
        <f t="shared" si="130"/>
        <v>5400</v>
      </c>
      <c r="L106" s="173">
        <f t="shared" si="130"/>
        <v>5400</v>
      </c>
      <c r="M106" s="173">
        <f>Kulud75!E29</f>
        <v>5400</v>
      </c>
      <c r="N106" s="173">
        <f t="shared" si="130"/>
        <v>5400</v>
      </c>
      <c r="O106" s="173">
        <f t="shared" si="130"/>
        <v>5400</v>
      </c>
      <c r="P106" s="173">
        <f t="shared" si="130"/>
        <v>5400</v>
      </c>
      <c r="Q106" s="173">
        <f t="shared" si="130"/>
        <v>5400</v>
      </c>
      <c r="R106" s="173">
        <f t="shared" si="130"/>
        <v>5400</v>
      </c>
      <c r="S106" s="173">
        <f t="shared" si="130"/>
        <v>5400</v>
      </c>
      <c r="T106" s="188"/>
      <c r="U106" s="189"/>
    </row>
    <row r="107" spans="1:21" ht="16.5" customHeight="1" x14ac:dyDescent="0.35">
      <c r="A107" s="768" t="str">
        <f>Kulud50!A54</f>
        <v>Valve</v>
      </c>
      <c r="B107" s="768"/>
      <c r="C107" s="172" t="s">
        <v>3</v>
      </c>
      <c r="D107" s="173"/>
      <c r="E107" s="173"/>
      <c r="F107" s="173">
        <f>Kulud25!E54*4/12</f>
        <v>1600</v>
      </c>
      <c r="G107" s="173">
        <f>Kulud25!E54</f>
        <v>4800</v>
      </c>
      <c r="H107" s="173">
        <f t="shared" ref="H107:S107" si="131">G107</f>
        <v>4800</v>
      </c>
      <c r="I107" s="173">
        <f>Kulud50!E54</f>
        <v>4800</v>
      </c>
      <c r="J107" s="173">
        <f t="shared" si="131"/>
        <v>4800</v>
      </c>
      <c r="K107" s="173">
        <f t="shared" si="131"/>
        <v>4800</v>
      </c>
      <c r="L107" s="173">
        <f t="shared" si="131"/>
        <v>4800</v>
      </c>
      <c r="M107" s="173">
        <f>Kulud75!E54</f>
        <v>4800</v>
      </c>
      <c r="N107" s="173">
        <f t="shared" si="131"/>
        <v>4800</v>
      </c>
      <c r="O107" s="173">
        <f t="shared" si="131"/>
        <v>4800</v>
      </c>
      <c r="P107" s="173">
        <f t="shared" si="131"/>
        <v>4800</v>
      </c>
      <c r="Q107" s="173">
        <f t="shared" si="131"/>
        <v>4800</v>
      </c>
      <c r="R107" s="173">
        <f t="shared" si="131"/>
        <v>4800</v>
      </c>
      <c r="S107" s="173">
        <f t="shared" si="131"/>
        <v>4800</v>
      </c>
      <c r="T107" s="188"/>
      <c r="U107" s="189"/>
    </row>
    <row r="108" spans="1:21" ht="16.5" customHeight="1" x14ac:dyDescent="0.35">
      <c r="A108" s="768" t="str">
        <f>Kulud50!A55</f>
        <v>Kindlustus</v>
      </c>
      <c r="B108" s="768"/>
      <c r="C108" s="172" t="s">
        <v>3</v>
      </c>
      <c r="D108" s="173"/>
      <c r="E108" s="173"/>
      <c r="F108" s="173">
        <f>Kulud25!E55*4/12</f>
        <v>1736.1288333333334</v>
      </c>
      <c r="G108" s="173">
        <f>Kulud25!E55</f>
        <v>5208.3865000000005</v>
      </c>
      <c r="H108" s="173">
        <f t="shared" ref="H108:S109" si="132">G108</f>
        <v>5208.3865000000005</v>
      </c>
      <c r="I108" s="173">
        <f>Kulud50!E55</f>
        <v>5042.6545000000006</v>
      </c>
      <c r="J108" s="173">
        <f t="shared" si="132"/>
        <v>5042.6545000000006</v>
      </c>
      <c r="K108" s="173">
        <f t="shared" si="132"/>
        <v>5042.6545000000006</v>
      </c>
      <c r="L108" s="173">
        <f t="shared" si="132"/>
        <v>5042.6545000000006</v>
      </c>
      <c r="M108" s="173">
        <f>Kulud75!E55</f>
        <v>5208.3865000000005</v>
      </c>
      <c r="N108" s="173">
        <f t="shared" si="132"/>
        <v>5208.3865000000005</v>
      </c>
      <c r="O108" s="173">
        <f t="shared" si="132"/>
        <v>5208.3865000000005</v>
      </c>
      <c r="P108" s="173">
        <f t="shared" si="132"/>
        <v>5208.3865000000005</v>
      </c>
      <c r="Q108" s="173">
        <f t="shared" si="132"/>
        <v>5208.3865000000005</v>
      </c>
      <c r="R108" s="173">
        <f t="shared" si="132"/>
        <v>5208.3865000000005</v>
      </c>
      <c r="S108" s="173">
        <f t="shared" si="132"/>
        <v>5208.3865000000005</v>
      </c>
      <c r="T108" s="188"/>
      <c r="U108" s="189"/>
    </row>
    <row r="109" spans="1:21" ht="16.5" customHeight="1" x14ac:dyDescent="0.35">
      <c r="A109" s="768" t="str">
        <f>Kulud50!A56</f>
        <v>Muu</v>
      </c>
      <c r="B109" s="768"/>
      <c r="C109" s="172" t="s">
        <v>3</v>
      </c>
      <c r="D109" s="173"/>
      <c r="E109" s="173"/>
      <c r="F109" s="173">
        <f>Kulud25!E56*4/12</f>
        <v>1420</v>
      </c>
      <c r="G109" s="173">
        <f>Kulud25!E56</f>
        <v>4260</v>
      </c>
      <c r="H109" s="173">
        <f t="shared" si="132"/>
        <v>4260</v>
      </c>
      <c r="I109" s="173">
        <f>Kulud50!E56</f>
        <v>4260</v>
      </c>
      <c r="J109" s="173">
        <f t="shared" si="132"/>
        <v>4260</v>
      </c>
      <c r="K109" s="173">
        <f t="shared" si="132"/>
        <v>4260</v>
      </c>
      <c r="L109" s="173">
        <f t="shared" si="132"/>
        <v>4260</v>
      </c>
      <c r="M109" s="173">
        <f>Kulud75!E56</f>
        <v>4260</v>
      </c>
      <c r="N109" s="173">
        <f t="shared" si="132"/>
        <v>4260</v>
      </c>
      <c r="O109" s="173">
        <f t="shared" si="132"/>
        <v>4260</v>
      </c>
      <c r="P109" s="173">
        <f t="shared" si="132"/>
        <v>4260</v>
      </c>
      <c r="Q109" s="173">
        <f t="shared" si="132"/>
        <v>4260</v>
      </c>
      <c r="R109" s="173">
        <f t="shared" si="132"/>
        <v>4260</v>
      </c>
      <c r="S109" s="173">
        <f t="shared" si="132"/>
        <v>4260</v>
      </c>
      <c r="T109" s="188"/>
      <c r="U109" s="189"/>
    </row>
    <row r="110" spans="1:21" ht="16.5" hidden="1" customHeight="1" x14ac:dyDescent="0.35">
      <c r="A110" s="768" t="s">
        <v>33</v>
      </c>
      <c r="B110" s="768"/>
      <c r="C110" s="172" t="s">
        <v>3</v>
      </c>
      <c r="D110" s="173"/>
      <c r="E110" s="173"/>
      <c r="F110" s="173"/>
      <c r="G110" s="173"/>
      <c r="H110" s="173"/>
      <c r="I110" s="173"/>
      <c r="J110" s="173"/>
      <c r="K110" s="173"/>
      <c r="L110" s="173"/>
      <c r="M110" s="173"/>
      <c r="N110" s="173"/>
      <c r="O110" s="173"/>
      <c r="P110" s="173"/>
      <c r="Q110" s="173"/>
      <c r="R110" s="173"/>
      <c r="S110" s="173"/>
      <c r="T110" s="188"/>
      <c r="U110" s="189"/>
    </row>
    <row r="111" spans="1:21" ht="16.5" customHeight="1" x14ac:dyDescent="0.35">
      <c r="A111" s="768" t="s">
        <v>502</v>
      </c>
      <c r="B111" s="768"/>
      <c r="C111" s="172" t="s">
        <v>3</v>
      </c>
      <c r="D111" s="173"/>
      <c r="E111" s="173"/>
      <c r="F111" s="173"/>
      <c r="G111" s="173"/>
      <c r="H111" s="173"/>
      <c r="I111" s="173"/>
      <c r="J111" s="173"/>
      <c r="K111" s="173"/>
      <c r="L111" s="173"/>
      <c r="M111" s="173"/>
      <c r="N111" s="173"/>
      <c r="O111" s="173"/>
      <c r="P111" s="173"/>
      <c r="Q111" s="173"/>
      <c r="R111" s="173"/>
      <c r="S111" s="173"/>
      <c r="T111" s="188"/>
      <c r="U111" s="189"/>
    </row>
    <row r="112" spans="1:21" ht="16.5" customHeight="1" x14ac:dyDescent="0.35">
      <c r="A112" s="779" t="s">
        <v>513</v>
      </c>
      <c r="B112" s="779"/>
      <c r="C112" s="172" t="s">
        <v>3</v>
      </c>
      <c r="D112" s="173"/>
      <c r="E112" s="173"/>
      <c r="F112" s="173"/>
      <c r="G112" s="173"/>
      <c r="H112" s="173"/>
      <c r="I112" s="173"/>
      <c r="J112" s="173"/>
      <c r="K112" s="173"/>
      <c r="L112" s="173"/>
      <c r="M112" s="173"/>
      <c r="N112" s="173">
        <f>Asendusinvesteeringud!C5</f>
        <v>0</v>
      </c>
      <c r="O112" s="173"/>
      <c r="P112" s="173"/>
      <c r="Q112" s="173"/>
      <c r="R112" s="173">
        <f>Asendusinvesteeringud!D5</f>
        <v>90338.700000000012</v>
      </c>
      <c r="S112" s="173">
        <f>Asendusinvesteeringud!E5</f>
        <v>0</v>
      </c>
      <c r="T112" s="188"/>
      <c r="U112" s="189"/>
    </row>
    <row r="113" spans="1:21" ht="16.5" hidden="1" customHeight="1" outlineLevel="1" x14ac:dyDescent="0.35">
      <c r="A113" s="768" t="s">
        <v>34</v>
      </c>
      <c r="B113" s="768"/>
      <c r="C113" s="172" t="s">
        <v>3</v>
      </c>
      <c r="D113" s="173"/>
      <c r="E113" s="173"/>
      <c r="F113" s="173"/>
      <c r="G113" s="173"/>
      <c r="H113" s="173"/>
      <c r="I113" s="173"/>
      <c r="J113" s="173"/>
      <c r="K113" s="173"/>
      <c r="L113" s="173"/>
      <c r="M113" s="173"/>
      <c r="N113" s="173"/>
      <c r="O113" s="173"/>
      <c r="P113" s="173"/>
      <c r="Q113" s="173"/>
      <c r="R113" s="173"/>
      <c r="S113" s="173"/>
      <c r="T113" s="188"/>
      <c r="U113" s="189"/>
    </row>
    <row r="114" spans="1:21" ht="16.5" hidden="1" customHeight="1" outlineLevel="1" x14ac:dyDescent="0.35">
      <c r="A114" s="768" t="s">
        <v>35</v>
      </c>
      <c r="B114" s="768"/>
      <c r="C114" s="172" t="s">
        <v>3</v>
      </c>
      <c r="D114" s="173"/>
      <c r="E114" s="173"/>
      <c r="F114" s="173"/>
      <c r="G114" s="173"/>
      <c r="H114" s="173"/>
      <c r="I114" s="173"/>
      <c r="J114" s="173"/>
      <c r="K114" s="173"/>
      <c r="L114" s="173"/>
      <c r="M114" s="173"/>
      <c r="N114" s="173"/>
      <c r="O114" s="173"/>
      <c r="P114" s="173"/>
      <c r="Q114" s="173"/>
      <c r="R114" s="173"/>
      <c r="S114" s="173"/>
      <c r="T114" s="188"/>
      <c r="U114" s="189"/>
    </row>
    <row r="115" spans="1:21" ht="16.5" hidden="1" customHeight="1" outlineLevel="1" x14ac:dyDescent="0.35">
      <c r="A115" s="768" t="s">
        <v>36</v>
      </c>
      <c r="B115" s="768"/>
      <c r="C115" s="172" t="s">
        <v>3</v>
      </c>
      <c r="D115" s="173"/>
      <c r="E115" s="173"/>
      <c r="F115" s="173"/>
      <c r="G115" s="173"/>
      <c r="H115" s="173"/>
      <c r="I115" s="173"/>
      <c r="J115" s="173"/>
      <c r="K115" s="173"/>
      <c r="L115" s="173"/>
      <c r="M115" s="173"/>
      <c r="N115" s="173"/>
      <c r="O115" s="173"/>
      <c r="P115" s="173"/>
      <c r="Q115" s="173"/>
      <c r="R115" s="173"/>
      <c r="S115" s="173"/>
      <c r="T115" s="188"/>
      <c r="U115" s="189"/>
    </row>
    <row r="116" spans="1:21" s="198" customFormat="1" collapsed="1" x14ac:dyDescent="0.35">
      <c r="A116" s="770" t="s">
        <v>29</v>
      </c>
      <c r="B116" s="771"/>
      <c r="C116" s="182" t="s">
        <v>3</v>
      </c>
      <c r="D116" s="193">
        <f t="shared" ref="D116:R116" si="133">SUM(D106:D115)</f>
        <v>0</v>
      </c>
      <c r="E116" s="193">
        <f t="shared" ref="E116:L116" si="134">SUM(E106:E115)</f>
        <v>0</v>
      </c>
      <c r="F116" s="193">
        <f t="shared" si="134"/>
        <v>6556.1288333333332</v>
      </c>
      <c r="G116" s="193">
        <f t="shared" si="134"/>
        <v>19668.386500000001</v>
      </c>
      <c r="H116" s="193">
        <f>SUM(H106:H115)</f>
        <v>19668.386500000001</v>
      </c>
      <c r="I116" s="193">
        <f t="shared" si="134"/>
        <v>19502.654500000001</v>
      </c>
      <c r="J116" s="193">
        <f t="shared" si="134"/>
        <v>19502.654500000001</v>
      </c>
      <c r="K116" s="193">
        <f t="shared" si="134"/>
        <v>19502.654500000001</v>
      </c>
      <c r="L116" s="193">
        <f t="shared" si="134"/>
        <v>19502.654500000001</v>
      </c>
      <c r="M116" s="193">
        <f t="shared" si="133"/>
        <v>19668.386500000001</v>
      </c>
      <c r="N116" s="193">
        <f t="shared" si="133"/>
        <v>19668.386500000001</v>
      </c>
      <c r="O116" s="193">
        <f t="shared" si="133"/>
        <v>19668.386500000001</v>
      </c>
      <c r="P116" s="193">
        <f t="shared" si="133"/>
        <v>19668.386500000001</v>
      </c>
      <c r="Q116" s="193">
        <f t="shared" si="133"/>
        <v>19668.386500000001</v>
      </c>
      <c r="R116" s="193">
        <f t="shared" si="133"/>
        <v>110007.0865</v>
      </c>
      <c r="S116" s="193">
        <f t="shared" ref="S116" si="135">SUM(S106:S115)</f>
        <v>19668.386500000001</v>
      </c>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95"/>
      <c r="T117" s="188"/>
      <c r="U117" s="189"/>
    </row>
    <row r="118" spans="1:21" s="185" customFormat="1" ht="20.25" customHeight="1" x14ac:dyDescent="0.35">
      <c r="A118" s="777" t="s">
        <v>30</v>
      </c>
      <c r="B118" s="778"/>
      <c r="C118" s="199" t="s">
        <v>3</v>
      </c>
      <c r="D118" s="183">
        <f t="shared" ref="D118:R118" si="136">D80+D92+D104+D116</f>
        <v>0</v>
      </c>
      <c r="E118" s="183">
        <f t="shared" ref="E118:L118" si="137">E80+E92+E104+E116</f>
        <v>0</v>
      </c>
      <c r="F118" s="183">
        <f t="shared" si="137"/>
        <v>63205.406368533339</v>
      </c>
      <c r="G118" s="183">
        <f t="shared" si="137"/>
        <v>155681.8631056</v>
      </c>
      <c r="H118" s="183">
        <f>H80+H92+H104+H116</f>
        <v>155681.8631056</v>
      </c>
      <c r="I118" s="183">
        <f t="shared" si="137"/>
        <v>155802.19376560001</v>
      </c>
      <c r="J118" s="183">
        <f t="shared" si="137"/>
        <v>155802.19376560001</v>
      </c>
      <c r="K118" s="183">
        <f t="shared" si="137"/>
        <v>155802.19376560001</v>
      </c>
      <c r="L118" s="183">
        <f t="shared" si="137"/>
        <v>155802.19376560001</v>
      </c>
      <c r="M118" s="183">
        <f t="shared" si="136"/>
        <v>151253.98842559999</v>
      </c>
      <c r="N118" s="183">
        <f t="shared" si="136"/>
        <v>151253.98842559999</v>
      </c>
      <c r="O118" s="183">
        <f t="shared" si="136"/>
        <v>151253.98842559999</v>
      </c>
      <c r="P118" s="183">
        <f t="shared" si="136"/>
        <v>151253.98842559999</v>
      </c>
      <c r="Q118" s="183">
        <f t="shared" si="136"/>
        <v>151253.98842559999</v>
      </c>
      <c r="R118" s="183">
        <f t="shared" si="136"/>
        <v>241592.6884256</v>
      </c>
      <c r="S118" s="183">
        <f t="shared" ref="S118" si="138">S80+S92+S104+S116</f>
        <v>151253.98842559999</v>
      </c>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95"/>
      <c r="T119" s="188"/>
      <c r="U119" s="189"/>
    </row>
    <row r="120" spans="1:21" ht="15" customHeight="1" x14ac:dyDescent="0.35">
      <c r="A120" s="202"/>
      <c r="B120" s="165"/>
      <c r="C120" s="167"/>
      <c r="D120" s="203"/>
      <c r="E120" s="203"/>
      <c r="F120" s="203"/>
      <c r="G120" s="203"/>
      <c r="H120" s="203"/>
      <c r="I120" s="203"/>
      <c r="J120" s="203"/>
      <c r="K120" s="203"/>
      <c r="L120" s="203"/>
      <c r="M120" s="203"/>
      <c r="N120" s="203"/>
      <c r="O120" s="203"/>
      <c r="P120" s="203"/>
      <c r="Q120" s="203"/>
      <c r="R120" s="204"/>
      <c r="S120" s="204"/>
      <c r="T120" s="188"/>
      <c r="U120" s="189"/>
    </row>
    <row r="121" spans="1:21" s="185" customFormat="1" ht="21" customHeight="1" x14ac:dyDescent="0.35">
      <c r="A121" s="775" t="s">
        <v>31</v>
      </c>
      <c r="B121" s="776"/>
      <c r="C121" s="205" t="s">
        <v>3</v>
      </c>
      <c r="D121" s="206">
        <f t="shared" ref="D121:R121" si="139">D53-D118</f>
        <v>0</v>
      </c>
      <c r="E121" s="206">
        <f t="shared" si="139"/>
        <v>0</v>
      </c>
      <c r="F121" s="206">
        <f t="shared" si="139"/>
        <v>-26433.115425622113</v>
      </c>
      <c r="G121" s="206">
        <f t="shared" si="139"/>
        <v>-45364.990276866331</v>
      </c>
      <c r="H121" s="206">
        <f t="shared" si="139"/>
        <v>-45364.990276866331</v>
      </c>
      <c r="I121" s="206">
        <f t="shared" si="139"/>
        <v>-7721.4814060806821</v>
      </c>
      <c r="J121" s="206">
        <f t="shared" si="139"/>
        <v>-7721.4814060806821</v>
      </c>
      <c r="K121" s="206">
        <f t="shared" si="139"/>
        <v>-7721.4814060806821</v>
      </c>
      <c r="L121" s="206">
        <f t="shared" si="139"/>
        <v>-7721.4814060806821</v>
      </c>
      <c r="M121" s="206">
        <f t="shared" si="139"/>
        <v>34619.762443655258</v>
      </c>
      <c r="N121" s="206">
        <f t="shared" si="139"/>
        <v>34619.762443655258</v>
      </c>
      <c r="O121" s="206">
        <f t="shared" si="139"/>
        <v>34619.762443655258</v>
      </c>
      <c r="P121" s="206">
        <f t="shared" si="139"/>
        <v>34619.762443655258</v>
      </c>
      <c r="Q121" s="206">
        <f t="shared" si="139"/>
        <v>34619.762443655258</v>
      </c>
      <c r="R121" s="206">
        <f t="shared" si="139"/>
        <v>-55718.937556344754</v>
      </c>
      <c r="S121" s="206">
        <f t="shared" ref="S121" si="140">S53-S118</f>
        <v>34619.762443655258</v>
      </c>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95"/>
      <c r="T122" s="188"/>
      <c r="U122" s="189"/>
    </row>
    <row r="123" spans="1:21" ht="16.5" customHeight="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6.5" customHeight="1" x14ac:dyDescent="0.35">
      <c r="A124" s="775" t="s">
        <v>172</v>
      </c>
      <c r="B124" s="776"/>
      <c r="C124" s="205" t="s">
        <v>3</v>
      </c>
      <c r="D124" s="206">
        <f>D121</f>
        <v>0</v>
      </c>
      <c r="E124" s="206">
        <f>D124+E121</f>
        <v>0</v>
      </c>
      <c r="F124" s="206">
        <f t="shared" ref="F124:P124" si="141">E124+F121</f>
        <v>-26433.115425622113</v>
      </c>
      <c r="G124" s="206">
        <f t="shared" si="141"/>
        <v>-71798.10570248845</v>
      </c>
      <c r="H124" s="206">
        <f t="shared" si="141"/>
        <v>-117163.09597935478</v>
      </c>
      <c r="I124" s="206">
        <f t="shared" si="141"/>
        <v>-124884.57738543546</v>
      </c>
      <c r="J124" s="206">
        <f t="shared" si="141"/>
        <v>-132606.05879151614</v>
      </c>
      <c r="K124" s="206">
        <f t="shared" si="141"/>
        <v>-140327.54019759683</v>
      </c>
      <c r="L124" s="206">
        <f t="shared" si="141"/>
        <v>-148049.02160367751</v>
      </c>
      <c r="M124" s="206">
        <f t="shared" si="141"/>
        <v>-113429.25916002225</v>
      </c>
      <c r="N124" s="206">
        <f t="shared" si="141"/>
        <v>-78809.496716366993</v>
      </c>
      <c r="O124" s="206">
        <f t="shared" si="141"/>
        <v>-44189.734272711736</v>
      </c>
      <c r="P124" s="206">
        <f t="shared" si="141"/>
        <v>-9569.9718290564779</v>
      </c>
      <c r="Q124" s="206">
        <f t="shared" ref="Q124" si="142">P124+Q121</f>
        <v>25049.79061459878</v>
      </c>
      <c r="R124" s="206">
        <f t="shared" ref="R124:S124" si="143">Q124+R121</f>
        <v>-30669.146941745974</v>
      </c>
      <c r="S124" s="206">
        <f t="shared" si="143"/>
        <v>3950.6155019092839</v>
      </c>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95"/>
      <c r="T125" s="188"/>
      <c r="U125" s="189"/>
    </row>
    <row r="126" spans="1:21" ht="16.5" customHeight="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sheetProtection insertColumns="0" insertRows="0" deleteColumns="0" deleteRows="0"/>
  <mergeCells count="36">
    <mergeCell ref="A51:B51"/>
    <mergeCell ref="A53:B53"/>
    <mergeCell ref="A58:A79"/>
    <mergeCell ref="A27:A29"/>
    <mergeCell ref="A47:B47"/>
    <mergeCell ref="A48:B48"/>
    <mergeCell ref="A49:B49"/>
    <mergeCell ref="A50:B50"/>
    <mergeCell ref="A31:A33"/>
    <mergeCell ref="A35:A37"/>
    <mergeCell ref="A39:A41"/>
    <mergeCell ref="A43:A45"/>
    <mergeCell ref="A7:A9"/>
    <mergeCell ref="A11:A13"/>
    <mergeCell ref="A15:A17"/>
    <mergeCell ref="A19:A21"/>
    <mergeCell ref="A23:A25"/>
    <mergeCell ref="A124:B124"/>
    <mergeCell ref="A118:B118"/>
    <mergeCell ref="A121:B121"/>
    <mergeCell ref="A112:B112"/>
    <mergeCell ref="A113:B113"/>
    <mergeCell ref="A114:B114"/>
    <mergeCell ref="A115:B115"/>
    <mergeCell ref="A116:B116"/>
    <mergeCell ref="A110:B110"/>
    <mergeCell ref="A111:B111"/>
    <mergeCell ref="A82:A91"/>
    <mergeCell ref="A80:B80"/>
    <mergeCell ref="A92:B92"/>
    <mergeCell ref="A104:B104"/>
    <mergeCell ref="A106:B106"/>
    <mergeCell ref="A107:B107"/>
    <mergeCell ref="A108:B108"/>
    <mergeCell ref="A109:B109"/>
    <mergeCell ref="A94:A103"/>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ignoredErrors>
    <ignoredError sqref="F12"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topLeftCell="A53" workbookViewId="0">
      <selection activeCell="D1" sqref="D1:D1048576"/>
    </sheetView>
  </sheetViews>
  <sheetFormatPr defaultColWidth="9.1796875" defaultRowHeight="14.5" outlineLevelRow="1" x14ac:dyDescent="0.35"/>
  <cols>
    <col min="1" max="1" width="20.453125" style="147" customWidth="1"/>
    <col min="2" max="2" width="19.453125" style="146" customWidth="1"/>
    <col min="3" max="3" width="7.453125" style="147" customWidth="1"/>
    <col min="4" max="4" width="10.36328125" style="147" hidden="1" customWidth="1"/>
    <col min="5" max="19" width="10.36328125" style="147" customWidth="1"/>
    <col min="20" max="16384" width="9.1796875" style="147"/>
  </cols>
  <sheetData>
    <row r="1" spans="1:20" s="209" customFormat="1" ht="22.5" customHeight="1" x14ac:dyDescent="0.35">
      <c r="A1" s="207" t="s">
        <v>70</v>
      </c>
      <c r="B1" s="208"/>
    </row>
    <row r="2" spans="1:20" s="209" customFormat="1" ht="7.5" customHeight="1" x14ac:dyDescent="0.35">
      <c r="A2" s="210"/>
      <c r="B2" s="211"/>
      <c r="C2" s="212"/>
      <c r="D2" s="213"/>
      <c r="E2" s="213"/>
      <c r="F2" s="213"/>
      <c r="G2" s="213"/>
      <c r="H2" s="213"/>
      <c r="I2" s="213"/>
      <c r="J2" s="213"/>
      <c r="K2" s="213"/>
      <c r="L2" s="213"/>
      <c r="M2" s="213"/>
      <c r="N2" s="213"/>
      <c r="O2" s="213"/>
      <c r="P2" s="213"/>
      <c r="Q2" s="213"/>
      <c r="R2" s="213"/>
      <c r="S2" s="213"/>
      <c r="T2" s="212"/>
    </row>
    <row r="3" spans="1:20" s="209" customFormat="1" ht="18" customHeight="1" x14ac:dyDescent="0.35">
      <c r="A3" s="214"/>
      <c r="B3" s="215"/>
      <c r="C3" s="216"/>
      <c r="D3" s="217">
        <f>'2. Tulud-kulud projektiga'!D3</f>
        <v>2024</v>
      </c>
      <c r="E3" s="217">
        <f>D3+1</f>
        <v>2025</v>
      </c>
      <c r="F3" s="217">
        <f t="shared" ref="F3:P3" si="0">E3+1</f>
        <v>2026</v>
      </c>
      <c r="G3" s="217">
        <f t="shared" si="0"/>
        <v>2027</v>
      </c>
      <c r="H3" s="217">
        <f t="shared" si="0"/>
        <v>2028</v>
      </c>
      <c r="I3" s="217">
        <f t="shared" si="0"/>
        <v>2029</v>
      </c>
      <c r="J3" s="217">
        <f t="shared" si="0"/>
        <v>2030</v>
      </c>
      <c r="K3" s="217">
        <f t="shared" si="0"/>
        <v>2031</v>
      </c>
      <c r="L3" s="217">
        <f t="shared" si="0"/>
        <v>2032</v>
      </c>
      <c r="M3" s="217">
        <f t="shared" si="0"/>
        <v>2033</v>
      </c>
      <c r="N3" s="217">
        <f t="shared" si="0"/>
        <v>2034</v>
      </c>
      <c r="O3" s="217">
        <f t="shared" si="0"/>
        <v>2035</v>
      </c>
      <c r="P3" s="217">
        <f t="shared" si="0"/>
        <v>2036</v>
      </c>
      <c r="Q3" s="217">
        <f t="shared" ref="Q3" si="1">P3+1</f>
        <v>2037</v>
      </c>
      <c r="R3" s="217">
        <f t="shared" ref="R3:S3" si="2">Q3+1</f>
        <v>2038</v>
      </c>
      <c r="S3" s="217">
        <f t="shared" si="2"/>
        <v>2039</v>
      </c>
      <c r="T3" s="212"/>
    </row>
    <row r="4" spans="1:20" ht="5.25" customHeight="1" x14ac:dyDescent="0.35">
      <c r="A4" s="157"/>
      <c r="B4" s="158"/>
      <c r="C4" s="159"/>
      <c r="D4" s="161"/>
      <c r="E4" s="161"/>
      <c r="F4" s="161"/>
      <c r="G4" s="161"/>
      <c r="H4" s="161"/>
      <c r="I4" s="161"/>
      <c r="J4" s="161"/>
      <c r="K4" s="161"/>
      <c r="L4" s="161"/>
      <c r="M4" s="161"/>
      <c r="N4" s="161"/>
      <c r="O4" s="161"/>
      <c r="P4" s="161"/>
      <c r="Q4" s="161"/>
      <c r="R4" s="162"/>
      <c r="S4" s="162"/>
      <c r="T4" s="163"/>
    </row>
    <row r="5" spans="1:20" ht="18" customHeight="1" x14ac:dyDescent="0.35">
      <c r="A5" s="164" t="s">
        <v>32</v>
      </c>
      <c r="B5" s="165"/>
      <c r="C5" s="166" t="s">
        <v>2</v>
      </c>
      <c r="D5" s="168"/>
      <c r="E5" s="168"/>
      <c r="F5" s="168"/>
      <c r="G5" s="168"/>
      <c r="H5" s="168"/>
      <c r="I5" s="168"/>
      <c r="J5" s="168"/>
      <c r="K5" s="168"/>
      <c r="L5" s="168"/>
      <c r="M5" s="168"/>
      <c r="N5" s="168"/>
      <c r="O5" s="168"/>
      <c r="P5" s="168"/>
      <c r="Q5" s="168"/>
      <c r="R5" s="169"/>
      <c r="S5" s="169"/>
      <c r="T5" s="163"/>
    </row>
    <row r="6" spans="1:20" ht="5.25" customHeight="1" x14ac:dyDescent="0.35">
      <c r="A6" s="157"/>
      <c r="B6" s="158"/>
      <c r="C6" s="160"/>
      <c r="D6" s="160"/>
      <c r="E6" s="160"/>
      <c r="F6" s="160"/>
      <c r="G6" s="160"/>
      <c r="H6" s="160"/>
      <c r="I6" s="160"/>
      <c r="J6" s="160"/>
      <c r="K6" s="160"/>
      <c r="L6" s="160"/>
      <c r="M6" s="160"/>
      <c r="N6" s="160"/>
      <c r="O6" s="160"/>
      <c r="P6" s="160"/>
      <c r="Q6" s="160"/>
      <c r="R6" s="170"/>
      <c r="S6" s="170"/>
      <c r="T6" s="163"/>
    </row>
    <row r="7" spans="1:20" ht="15.75" customHeight="1" x14ac:dyDescent="0.35">
      <c r="A7" s="794" t="str">
        <f>'2. Tulud-kulud projektiga'!A7:A9</f>
        <v>Üüritulud. 1 korrus. Kohvik</v>
      </c>
      <c r="B7" s="218" t="str">
        <f>'2. Tulud-kulud projektiga'!B7</f>
        <v>Kuu</v>
      </c>
      <c r="C7" s="219" t="str">
        <f>'2. Tulud-kulud projektiga'!C7</f>
        <v>m2</v>
      </c>
      <c r="D7" s="173"/>
      <c r="E7" s="173"/>
      <c r="F7" s="173"/>
      <c r="G7" s="173"/>
      <c r="H7" s="173"/>
      <c r="I7" s="173"/>
      <c r="J7" s="173"/>
      <c r="K7" s="173"/>
      <c r="L7" s="173"/>
      <c r="M7" s="173"/>
      <c r="N7" s="173"/>
      <c r="O7" s="173"/>
      <c r="P7" s="173"/>
      <c r="Q7" s="173"/>
      <c r="R7" s="173"/>
      <c r="S7" s="173"/>
      <c r="T7" s="163"/>
    </row>
    <row r="8" spans="1:20" ht="15.75" customHeight="1" x14ac:dyDescent="0.35">
      <c r="A8" s="794"/>
      <c r="B8" s="218" t="s">
        <v>0</v>
      </c>
      <c r="C8" s="219" t="s">
        <v>3</v>
      </c>
      <c r="D8" s="173"/>
      <c r="E8" s="173"/>
      <c r="F8" s="173"/>
      <c r="G8" s="173"/>
      <c r="H8" s="173"/>
      <c r="I8" s="173"/>
      <c r="J8" s="173"/>
      <c r="K8" s="173"/>
      <c r="L8" s="173"/>
      <c r="M8" s="173"/>
      <c r="N8" s="173"/>
      <c r="O8" s="173"/>
      <c r="P8" s="173"/>
      <c r="Q8" s="173"/>
      <c r="R8" s="173"/>
      <c r="S8" s="173"/>
      <c r="T8" s="163"/>
    </row>
    <row r="9" spans="1:20" ht="15.75" customHeight="1" x14ac:dyDescent="0.35">
      <c r="A9" s="794"/>
      <c r="B9" s="221" t="s">
        <v>1</v>
      </c>
      <c r="C9" s="222" t="s">
        <v>3</v>
      </c>
      <c r="D9" s="220">
        <f t="shared" ref="D9:R9" si="3">D7*D8</f>
        <v>0</v>
      </c>
      <c r="E9" s="220">
        <f t="shared" si="3"/>
        <v>0</v>
      </c>
      <c r="F9" s="220">
        <f t="shared" si="3"/>
        <v>0</v>
      </c>
      <c r="G9" s="220">
        <f t="shared" si="3"/>
        <v>0</v>
      </c>
      <c r="H9" s="220">
        <f t="shared" si="3"/>
        <v>0</v>
      </c>
      <c r="I9" s="220">
        <f t="shared" si="3"/>
        <v>0</v>
      </c>
      <c r="J9" s="220">
        <f t="shared" si="3"/>
        <v>0</v>
      </c>
      <c r="K9" s="220">
        <f t="shared" si="3"/>
        <v>0</v>
      </c>
      <c r="L9" s="220">
        <f t="shared" si="3"/>
        <v>0</v>
      </c>
      <c r="M9" s="220">
        <f t="shared" si="3"/>
        <v>0</v>
      </c>
      <c r="N9" s="220">
        <f t="shared" si="3"/>
        <v>0</v>
      </c>
      <c r="O9" s="220">
        <f t="shared" si="3"/>
        <v>0</v>
      </c>
      <c r="P9" s="220">
        <f t="shared" si="3"/>
        <v>0</v>
      </c>
      <c r="Q9" s="220">
        <f t="shared" ref="Q9" si="4">Q7*Q8</f>
        <v>0</v>
      </c>
      <c r="R9" s="220">
        <f t="shared" si="3"/>
        <v>0</v>
      </c>
      <c r="S9" s="220">
        <f t="shared" ref="S9" si="5">S7*S8</f>
        <v>0</v>
      </c>
      <c r="T9" s="163"/>
    </row>
    <row r="10" spans="1:20" ht="5.25" customHeight="1" x14ac:dyDescent="0.35">
      <c r="A10" s="223"/>
      <c r="B10" s="178"/>
      <c r="C10" s="179"/>
      <c r="D10" s="179"/>
      <c r="E10" s="179"/>
      <c r="F10" s="179"/>
      <c r="G10" s="179"/>
      <c r="H10" s="179"/>
      <c r="I10" s="179"/>
      <c r="J10" s="179"/>
      <c r="K10" s="179"/>
      <c r="L10" s="179"/>
      <c r="M10" s="179"/>
      <c r="N10" s="179"/>
      <c r="O10" s="179"/>
      <c r="P10" s="179"/>
      <c r="Q10" s="179"/>
      <c r="R10" s="180"/>
      <c r="S10" s="180"/>
      <c r="T10" s="163"/>
    </row>
    <row r="11" spans="1:20" x14ac:dyDescent="0.35">
      <c r="A11" s="794" t="str">
        <f>'2. Tulud-kulud projektiga'!A11:A13</f>
        <v>Üüritulud. 2 korrus. Üüriruumid</v>
      </c>
      <c r="B11" s="218" t="str">
        <f>'2. Tulud-kulud projektiga'!B11</f>
        <v>Kuu</v>
      </c>
      <c r="C11" s="219" t="str">
        <f>'2. Tulud-kulud projektiga'!C11</f>
        <v>m2</v>
      </c>
      <c r="D11" s="173"/>
      <c r="E11" s="173"/>
      <c r="F11" s="173"/>
      <c r="G11" s="173"/>
      <c r="H11" s="173"/>
      <c r="I11" s="173"/>
      <c r="J11" s="173"/>
      <c r="K11" s="173"/>
      <c r="L11" s="173"/>
      <c r="M11" s="173"/>
      <c r="N11" s="173"/>
      <c r="O11" s="173"/>
      <c r="P11" s="173"/>
      <c r="Q11" s="173"/>
      <c r="R11" s="173"/>
      <c r="S11" s="173"/>
      <c r="T11" s="163"/>
    </row>
    <row r="12" spans="1:20" x14ac:dyDescent="0.35">
      <c r="A12" s="794"/>
      <c r="B12" s="218" t="s">
        <v>0</v>
      </c>
      <c r="C12" s="219" t="s">
        <v>3</v>
      </c>
      <c r="D12" s="173"/>
      <c r="E12" s="173"/>
      <c r="F12" s="173"/>
      <c r="G12" s="173"/>
      <c r="H12" s="173"/>
      <c r="I12" s="173"/>
      <c r="J12" s="173"/>
      <c r="K12" s="173"/>
      <c r="L12" s="173"/>
      <c r="M12" s="173"/>
      <c r="N12" s="173"/>
      <c r="O12" s="173"/>
      <c r="P12" s="173"/>
      <c r="Q12" s="173"/>
      <c r="R12" s="173"/>
      <c r="S12" s="173"/>
      <c r="T12" s="163"/>
    </row>
    <row r="13" spans="1:20" x14ac:dyDescent="0.35">
      <c r="A13" s="794"/>
      <c r="B13" s="221" t="s">
        <v>1</v>
      </c>
      <c r="C13" s="222" t="s">
        <v>3</v>
      </c>
      <c r="D13" s="220">
        <f t="shared" ref="D13:R13" si="6">D11*D12</f>
        <v>0</v>
      </c>
      <c r="E13" s="220">
        <f t="shared" si="6"/>
        <v>0</v>
      </c>
      <c r="F13" s="220">
        <f t="shared" si="6"/>
        <v>0</v>
      </c>
      <c r="G13" s="220">
        <f t="shared" si="6"/>
        <v>0</v>
      </c>
      <c r="H13" s="220">
        <f t="shared" si="6"/>
        <v>0</v>
      </c>
      <c r="I13" s="220">
        <f t="shared" si="6"/>
        <v>0</v>
      </c>
      <c r="J13" s="220">
        <f t="shared" si="6"/>
        <v>0</v>
      </c>
      <c r="K13" s="220">
        <f t="shared" si="6"/>
        <v>0</v>
      </c>
      <c r="L13" s="220">
        <f t="shared" si="6"/>
        <v>0</v>
      </c>
      <c r="M13" s="220">
        <f t="shared" si="6"/>
        <v>0</v>
      </c>
      <c r="N13" s="220">
        <f t="shared" si="6"/>
        <v>0</v>
      </c>
      <c r="O13" s="220">
        <f t="shared" si="6"/>
        <v>0</v>
      </c>
      <c r="P13" s="220">
        <f t="shared" si="6"/>
        <v>0</v>
      </c>
      <c r="Q13" s="220">
        <f t="shared" ref="Q13" si="7">Q11*Q12</f>
        <v>0</v>
      </c>
      <c r="R13" s="220">
        <f t="shared" si="6"/>
        <v>0</v>
      </c>
      <c r="S13" s="220">
        <f t="shared" ref="S13" si="8">S11*S12</f>
        <v>0</v>
      </c>
      <c r="T13" s="163"/>
    </row>
    <row r="14" spans="1:20" ht="5.25" customHeight="1" x14ac:dyDescent="0.35">
      <c r="A14" s="223"/>
      <c r="B14" s="178"/>
      <c r="C14" s="179"/>
      <c r="D14" s="179"/>
      <c r="E14" s="179"/>
      <c r="F14" s="179"/>
      <c r="G14" s="179"/>
      <c r="H14" s="179"/>
      <c r="I14" s="179"/>
      <c r="J14" s="179"/>
      <c r="K14" s="179"/>
      <c r="L14" s="179"/>
      <c r="M14" s="179"/>
      <c r="N14" s="179"/>
      <c r="O14" s="179"/>
      <c r="P14" s="179"/>
      <c r="Q14" s="179"/>
      <c r="R14" s="180"/>
      <c r="S14" s="180"/>
      <c r="T14" s="163"/>
    </row>
    <row r="15" spans="1:20" x14ac:dyDescent="0.35">
      <c r="A15" s="794" t="str">
        <f>'2. Tulud-kulud projektiga'!A15:A17</f>
        <v>Üüritulud. 3 korrus. Üüriruumid</v>
      </c>
      <c r="B15" s="218" t="str">
        <f>'2. Tulud-kulud projektiga'!B15</f>
        <v>Ühik 3</v>
      </c>
      <c r="C15" s="219" t="str">
        <f>'2. Tulud-kulud projektiga'!C15</f>
        <v>m2</v>
      </c>
      <c r="D15" s="173"/>
      <c r="E15" s="173"/>
      <c r="F15" s="173"/>
      <c r="G15" s="173"/>
      <c r="H15" s="173"/>
      <c r="I15" s="173"/>
      <c r="J15" s="173"/>
      <c r="K15" s="173"/>
      <c r="L15" s="173"/>
      <c r="M15" s="173"/>
      <c r="N15" s="173"/>
      <c r="O15" s="173"/>
      <c r="P15" s="173"/>
      <c r="Q15" s="173"/>
      <c r="R15" s="173"/>
      <c r="S15" s="173"/>
      <c r="T15" s="163"/>
    </row>
    <row r="16" spans="1:20" x14ac:dyDescent="0.35">
      <c r="A16" s="794"/>
      <c r="B16" s="218" t="s">
        <v>0</v>
      </c>
      <c r="C16" s="219" t="s">
        <v>3</v>
      </c>
      <c r="D16" s="173"/>
      <c r="E16" s="173"/>
      <c r="F16" s="173"/>
      <c r="G16" s="173"/>
      <c r="H16" s="173"/>
      <c r="I16" s="173"/>
      <c r="J16" s="173"/>
      <c r="K16" s="173"/>
      <c r="L16" s="173"/>
      <c r="M16" s="173"/>
      <c r="N16" s="173"/>
      <c r="O16" s="173"/>
      <c r="P16" s="173"/>
      <c r="Q16" s="173"/>
      <c r="R16" s="173"/>
      <c r="S16" s="173"/>
      <c r="T16" s="163"/>
    </row>
    <row r="17" spans="1:20" x14ac:dyDescent="0.35">
      <c r="A17" s="794"/>
      <c r="B17" s="221" t="s">
        <v>1</v>
      </c>
      <c r="C17" s="222" t="s">
        <v>3</v>
      </c>
      <c r="D17" s="220">
        <f t="shared" ref="D17:R17" si="9">D15*D16</f>
        <v>0</v>
      </c>
      <c r="E17" s="220">
        <f t="shared" si="9"/>
        <v>0</v>
      </c>
      <c r="F17" s="220">
        <f t="shared" si="9"/>
        <v>0</v>
      </c>
      <c r="G17" s="220">
        <f t="shared" si="9"/>
        <v>0</v>
      </c>
      <c r="H17" s="220">
        <f t="shared" si="9"/>
        <v>0</v>
      </c>
      <c r="I17" s="220">
        <f t="shared" si="9"/>
        <v>0</v>
      </c>
      <c r="J17" s="220">
        <f t="shared" si="9"/>
        <v>0</v>
      </c>
      <c r="K17" s="220">
        <f t="shared" si="9"/>
        <v>0</v>
      </c>
      <c r="L17" s="220">
        <f t="shared" si="9"/>
        <v>0</v>
      </c>
      <c r="M17" s="220">
        <f t="shared" si="9"/>
        <v>0</v>
      </c>
      <c r="N17" s="220">
        <f t="shared" si="9"/>
        <v>0</v>
      </c>
      <c r="O17" s="220">
        <f t="shared" si="9"/>
        <v>0</v>
      </c>
      <c r="P17" s="220">
        <f t="shared" si="9"/>
        <v>0</v>
      </c>
      <c r="Q17" s="220">
        <f t="shared" ref="Q17" si="10">Q15*Q16</f>
        <v>0</v>
      </c>
      <c r="R17" s="220">
        <f t="shared" si="9"/>
        <v>0</v>
      </c>
      <c r="S17" s="220">
        <f t="shared" ref="S17" si="11">S15*S16</f>
        <v>0</v>
      </c>
      <c r="T17" s="163"/>
    </row>
    <row r="18" spans="1:20" ht="5.25" customHeight="1" x14ac:dyDescent="0.35">
      <c r="A18" s="223"/>
      <c r="B18" s="178"/>
      <c r="C18" s="179"/>
      <c r="D18" s="179"/>
      <c r="E18" s="179"/>
      <c r="F18" s="179"/>
      <c r="G18" s="179"/>
      <c r="H18" s="179"/>
      <c r="I18" s="179"/>
      <c r="J18" s="179"/>
      <c r="K18" s="179"/>
      <c r="L18" s="179"/>
      <c r="M18" s="179"/>
      <c r="N18" s="179"/>
      <c r="O18" s="179"/>
      <c r="P18" s="179"/>
      <c r="Q18" s="179"/>
      <c r="R18" s="180"/>
      <c r="S18" s="180"/>
      <c r="T18" s="163"/>
    </row>
    <row r="19" spans="1:20" x14ac:dyDescent="0.35">
      <c r="A19" s="794" t="str">
        <f>'2. Tulud-kulud projektiga'!A19:A21</f>
        <v xml:space="preserve">Üüritulud. 3 korrus. Open Office. </v>
      </c>
      <c r="B19" s="218" t="str">
        <f>'2. Tulud-kulud projektiga'!B19</f>
        <v>Ühik 4</v>
      </c>
      <c r="C19" s="219" t="str">
        <f>'2. Tulud-kulud projektiga'!C19</f>
        <v>Kohta</v>
      </c>
      <c r="D19" s="173"/>
      <c r="E19" s="173"/>
      <c r="F19" s="173"/>
      <c r="G19" s="173"/>
      <c r="H19" s="173"/>
      <c r="I19" s="173"/>
      <c r="J19" s="173"/>
      <c r="K19" s="173"/>
      <c r="L19" s="173"/>
      <c r="M19" s="173"/>
      <c r="N19" s="173"/>
      <c r="O19" s="173"/>
      <c r="P19" s="173"/>
      <c r="Q19" s="173"/>
      <c r="R19" s="173"/>
      <c r="S19" s="173"/>
      <c r="T19" s="163"/>
    </row>
    <row r="20" spans="1:20" x14ac:dyDescent="0.35">
      <c r="A20" s="794"/>
      <c r="B20" s="218" t="s">
        <v>0</v>
      </c>
      <c r="C20" s="219" t="s">
        <v>3</v>
      </c>
      <c r="D20" s="173"/>
      <c r="E20" s="173"/>
      <c r="F20" s="173"/>
      <c r="G20" s="173"/>
      <c r="H20" s="173"/>
      <c r="I20" s="173"/>
      <c r="J20" s="173"/>
      <c r="K20" s="173"/>
      <c r="L20" s="173"/>
      <c r="M20" s="173"/>
      <c r="N20" s="173"/>
      <c r="O20" s="173"/>
      <c r="P20" s="173"/>
      <c r="Q20" s="173"/>
      <c r="R20" s="173"/>
      <c r="S20" s="173"/>
      <c r="T20" s="163"/>
    </row>
    <row r="21" spans="1:20" x14ac:dyDescent="0.35">
      <c r="A21" s="794"/>
      <c r="B21" s="221" t="s">
        <v>1</v>
      </c>
      <c r="C21" s="222" t="s">
        <v>3</v>
      </c>
      <c r="D21" s="220">
        <f t="shared" ref="D21:R21" si="12">D19*D20</f>
        <v>0</v>
      </c>
      <c r="E21" s="220">
        <f t="shared" si="12"/>
        <v>0</v>
      </c>
      <c r="F21" s="220">
        <f t="shared" si="12"/>
        <v>0</v>
      </c>
      <c r="G21" s="220">
        <f t="shared" si="12"/>
        <v>0</v>
      </c>
      <c r="H21" s="220">
        <f t="shared" si="12"/>
        <v>0</v>
      </c>
      <c r="I21" s="220">
        <f t="shared" si="12"/>
        <v>0</v>
      </c>
      <c r="J21" s="220">
        <f t="shared" si="12"/>
        <v>0</v>
      </c>
      <c r="K21" s="220">
        <f t="shared" si="12"/>
        <v>0</v>
      </c>
      <c r="L21" s="220">
        <f t="shared" si="12"/>
        <v>0</v>
      </c>
      <c r="M21" s="220">
        <f t="shared" si="12"/>
        <v>0</v>
      </c>
      <c r="N21" s="220">
        <f t="shared" si="12"/>
        <v>0</v>
      </c>
      <c r="O21" s="220">
        <f t="shared" si="12"/>
        <v>0</v>
      </c>
      <c r="P21" s="220">
        <f t="shared" si="12"/>
        <v>0</v>
      </c>
      <c r="Q21" s="220">
        <f t="shared" ref="Q21" si="13">Q19*Q20</f>
        <v>0</v>
      </c>
      <c r="R21" s="220">
        <f t="shared" si="12"/>
        <v>0</v>
      </c>
      <c r="S21" s="220">
        <f t="shared" ref="S21" si="14">S19*S20</f>
        <v>0</v>
      </c>
      <c r="T21" s="163"/>
    </row>
    <row r="22" spans="1:20" ht="5.25" customHeight="1" x14ac:dyDescent="0.35">
      <c r="A22" s="223"/>
      <c r="B22" s="178"/>
      <c r="C22" s="179"/>
      <c r="D22" s="179"/>
      <c r="E22" s="179"/>
      <c r="F22" s="179"/>
      <c r="G22" s="179"/>
      <c r="H22" s="179"/>
      <c r="I22" s="179"/>
      <c r="J22" s="179"/>
      <c r="K22" s="179"/>
      <c r="L22" s="179"/>
      <c r="M22" s="179"/>
      <c r="N22" s="179"/>
      <c r="O22" s="179"/>
      <c r="P22" s="179"/>
      <c r="Q22" s="179"/>
      <c r="R22" s="180"/>
      <c r="S22" s="180"/>
      <c r="T22" s="163"/>
    </row>
    <row r="23" spans="1:20" x14ac:dyDescent="0.35">
      <c r="A23" s="794" t="str">
        <f>'2. Tulud-kulud projektiga'!A23:A25</f>
        <v>Üüritulud. 4 korrus. Üüriruumid</v>
      </c>
      <c r="B23" s="218" t="str">
        <f>'2. Tulud-kulud projektiga'!B23</f>
        <v>Ühik 5</v>
      </c>
      <c r="C23" s="219" t="str">
        <f>'2. Tulud-kulud projektiga'!C23</f>
        <v>m2</v>
      </c>
      <c r="D23" s="173"/>
      <c r="E23" s="173"/>
      <c r="F23" s="173"/>
      <c r="G23" s="173"/>
      <c r="H23" s="173"/>
      <c r="I23" s="173"/>
      <c r="J23" s="173"/>
      <c r="K23" s="173"/>
      <c r="L23" s="173"/>
      <c r="M23" s="173"/>
      <c r="N23" s="173"/>
      <c r="O23" s="173"/>
      <c r="P23" s="173"/>
      <c r="Q23" s="173"/>
      <c r="R23" s="173"/>
      <c r="S23" s="173"/>
      <c r="T23" s="163"/>
    </row>
    <row r="24" spans="1:20" x14ac:dyDescent="0.35">
      <c r="A24" s="794"/>
      <c r="B24" s="218" t="s">
        <v>0</v>
      </c>
      <c r="C24" s="219" t="s">
        <v>3</v>
      </c>
      <c r="D24" s="173"/>
      <c r="E24" s="173"/>
      <c r="F24" s="173"/>
      <c r="G24" s="173"/>
      <c r="H24" s="173"/>
      <c r="I24" s="173"/>
      <c r="J24" s="173"/>
      <c r="K24" s="173"/>
      <c r="L24" s="173"/>
      <c r="M24" s="173"/>
      <c r="N24" s="173"/>
      <c r="O24" s="173"/>
      <c r="P24" s="173"/>
      <c r="Q24" s="173"/>
      <c r="R24" s="173"/>
      <c r="S24" s="173"/>
      <c r="T24" s="163"/>
    </row>
    <row r="25" spans="1:20" x14ac:dyDescent="0.35">
      <c r="A25" s="794"/>
      <c r="B25" s="221" t="s">
        <v>1</v>
      </c>
      <c r="C25" s="222" t="s">
        <v>3</v>
      </c>
      <c r="D25" s="220">
        <f t="shared" ref="D25:R25" si="15">D23*D24</f>
        <v>0</v>
      </c>
      <c r="E25" s="220">
        <f t="shared" si="15"/>
        <v>0</v>
      </c>
      <c r="F25" s="220">
        <f t="shared" si="15"/>
        <v>0</v>
      </c>
      <c r="G25" s="220">
        <f t="shared" si="15"/>
        <v>0</v>
      </c>
      <c r="H25" s="220">
        <f t="shared" si="15"/>
        <v>0</v>
      </c>
      <c r="I25" s="220">
        <f t="shared" si="15"/>
        <v>0</v>
      </c>
      <c r="J25" s="220">
        <f t="shared" si="15"/>
        <v>0</v>
      </c>
      <c r="K25" s="220">
        <f t="shared" si="15"/>
        <v>0</v>
      </c>
      <c r="L25" s="220">
        <f t="shared" si="15"/>
        <v>0</v>
      </c>
      <c r="M25" s="220">
        <f t="shared" si="15"/>
        <v>0</v>
      </c>
      <c r="N25" s="220">
        <f t="shared" si="15"/>
        <v>0</v>
      </c>
      <c r="O25" s="220">
        <f t="shared" si="15"/>
        <v>0</v>
      </c>
      <c r="P25" s="220">
        <f t="shared" si="15"/>
        <v>0</v>
      </c>
      <c r="Q25" s="220">
        <f t="shared" ref="Q25" si="16">Q23*Q24</f>
        <v>0</v>
      </c>
      <c r="R25" s="220">
        <f t="shared" si="15"/>
        <v>0</v>
      </c>
      <c r="S25" s="220">
        <f t="shared" ref="S25" si="17">S23*S24</f>
        <v>0</v>
      </c>
      <c r="T25" s="163"/>
    </row>
    <row r="26" spans="1:20" ht="5.25" customHeight="1" x14ac:dyDescent="0.35">
      <c r="A26" s="223"/>
      <c r="B26" s="178"/>
      <c r="C26" s="179"/>
      <c r="D26" s="179"/>
      <c r="E26" s="179"/>
      <c r="F26" s="179"/>
      <c r="G26" s="179"/>
      <c r="H26" s="179"/>
      <c r="I26" s="179"/>
      <c r="J26" s="179"/>
      <c r="K26" s="179"/>
      <c r="L26" s="179"/>
      <c r="M26" s="179"/>
      <c r="N26" s="179"/>
      <c r="O26" s="179"/>
      <c r="P26" s="179"/>
      <c r="Q26" s="179"/>
      <c r="R26" s="180"/>
      <c r="S26" s="180"/>
      <c r="T26" s="163"/>
    </row>
    <row r="27" spans="1:20" hidden="1" outlineLevel="1" x14ac:dyDescent="0.35">
      <c r="A27" s="794" t="str">
        <f>'2. Tulud-kulud projektiga'!A27:A29</f>
        <v>Üüritulud. 4 korrus. Üürikabinet</v>
      </c>
      <c r="B27" s="218" t="str">
        <f>'2. Tulud-kulud projektiga'!B27</f>
        <v>Ühik 6</v>
      </c>
      <c r="C27" s="219" t="str">
        <f>'2. Tulud-kulud projektiga'!C27</f>
        <v>m2</v>
      </c>
      <c r="D27" s="173"/>
      <c r="E27" s="173"/>
      <c r="F27" s="173"/>
      <c r="G27" s="173"/>
      <c r="H27" s="173"/>
      <c r="I27" s="173"/>
      <c r="J27" s="173"/>
      <c r="K27" s="173"/>
      <c r="L27" s="173"/>
      <c r="M27" s="173"/>
      <c r="N27" s="173"/>
      <c r="O27" s="173"/>
      <c r="P27" s="173"/>
      <c r="Q27" s="173"/>
      <c r="R27" s="173"/>
      <c r="S27" s="173"/>
      <c r="T27" s="163"/>
    </row>
    <row r="28" spans="1:20" hidden="1" outlineLevel="1" x14ac:dyDescent="0.35">
      <c r="A28" s="794"/>
      <c r="B28" s="218" t="s">
        <v>0</v>
      </c>
      <c r="C28" s="219" t="s">
        <v>3</v>
      </c>
      <c r="D28" s="173"/>
      <c r="E28" s="173"/>
      <c r="F28" s="173"/>
      <c r="G28" s="173"/>
      <c r="H28" s="173"/>
      <c r="I28" s="173"/>
      <c r="J28" s="173"/>
      <c r="K28" s="173"/>
      <c r="L28" s="173"/>
      <c r="M28" s="173"/>
      <c r="N28" s="173"/>
      <c r="O28" s="173"/>
      <c r="P28" s="173"/>
      <c r="Q28" s="173"/>
      <c r="R28" s="173"/>
      <c r="S28" s="173"/>
      <c r="T28" s="163"/>
    </row>
    <row r="29" spans="1:20" hidden="1" outlineLevel="1" x14ac:dyDescent="0.35">
      <c r="A29" s="794"/>
      <c r="B29" s="221" t="s">
        <v>1</v>
      </c>
      <c r="C29" s="222" t="s">
        <v>3</v>
      </c>
      <c r="D29" s="220">
        <f t="shared" ref="D29:R29" si="18">D27*D28</f>
        <v>0</v>
      </c>
      <c r="E29" s="220">
        <f t="shared" si="18"/>
        <v>0</v>
      </c>
      <c r="F29" s="220">
        <f t="shared" si="18"/>
        <v>0</v>
      </c>
      <c r="G29" s="220">
        <f t="shared" si="18"/>
        <v>0</v>
      </c>
      <c r="H29" s="220">
        <f t="shared" si="18"/>
        <v>0</v>
      </c>
      <c r="I29" s="220">
        <f t="shared" si="18"/>
        <v>0</v>
      </c>
      <c r="J29" s="220">
        <f t="shared" si="18"/>
        <v>0</v>
      </c>
      <c r="K29" s="220">
        <f t="shared" si="18"/>
        <v>0</v>
      </c>
      <c r="L29" s="220">
        <f t="shared" si="18"/>
        <v>0</v>
      </c>
      <c r="M29" s="220">
        <f t="shared" si="18"/>
        <v>0</v>
      </c>
      <c r="N29" s="220">
        <f t="shared" si="18"/>
        <v>0</v>
      </c>
      <c r="O29" s="220">
        <f t="shared" si="18"/>
        <v>0</v>
      </c>
      <c r="P29" s="220">
        <f t="shared" si="18"/>
        <v>0</v>
      </c>
      <c r="Q29" s="220">
        <f t="shared" ref="Q29" si="19">Q27*Q28</f>
        <v>0</v>
      </c>
      <c r="R29" s="220">
        <f t="shared" si="18"/>
        <v>0</v>
      </c>
      <c r="S29" s="220">
        <f t="shared" ref="S29" si="20">S27*S28</f>
        <v>0</v>
      </c>
      <c r="T29" s="163"/>
    </row>
    <row r="30" spans="1:20" ht="5.25" hidden="1" customHeight="1" outlineLevel="1" x14ac:dyDescent="0.35">
      <c r="A30" s="223"/>
      <c r="B30" s="178"/>
      <c r="C30" s="179"/>
      <c r="D30" s="179"/>
      <c r="E30" s="179"/>
      <c r="F30" s="179"/>
      <c r="G30" s="179"/>
      <c r="H30" s="179"/>
      <c r="I30" s="179"/>
      <c r="J30" s="179"/>
      <c r="K30" s="179"/>
      <c r="L30" s="179"/>
      <c r="M30" s="179"/>
      <c r="N30" s="179"/>
      <c r="O30" s="179"/>
      <c r="P30" s="179"/>
      <c r="Q30" s="179"/>
      <c r="R30" s="180"/>
      <c r="S30" s="180"/>
      <c r="T30" s="163"/>
    </row>
    <row r="31" spans="1:20" hidden="1" outlineLevel="1" x14ac:dyDescent="0.35">
      <c r="A31" s="794" t="str">
        <f>'2. Tulud-kulud projektiga'!A31:A33</f>
        <v>Üüritulud. 5 korrus. Üürituba</v>
      </c>
      <c r="B31" s="218" t="str">
        <f>'2. Tulud-kulud projektiga'!B31</f>
        <v>Ühik 7</v>
      </c>
      <c r="C31" s="219" t="str">
        <f>'2. Tulud-kulud projektiga'!C31</f>
        <v>m2</v>
      </c>
      <c r="D31" s="173"/>
      <c r="E31" s="173"/>
      <c r="F31" s="173"/>
      <c r="G31" s="173"/>
      <c r="H31" s="173"/>
      <c r="I31" s="173"/>
      <c r="J31" s="173"/>
      <c r="K31" s="173"/>
      <c r="L31" s="173"/>
      <c r="M31" s="173"/>
      <c r="N31" s="173"/>
      <c r="O31" s="173"/>
      <c r="P31" s="173"/>
      <c r="Q31" s="173"/>
      <c r="R31" s="173"/>
      <c r="S31" s="173"/>
      <c r="T31" s="163"/>
    </row>
    <row r="32" spans="1:20" hidden="1" outlineLevel="1" x14ac:dyDescent="0.35">
      <c r="A32" s="794"/>
      <c r="B32" s="218" t="s">
        <v>0</v>
      </c>
      <c r="C32" s="219" t="s">
        <v>3</v>
      </c>
      <c r="D32" s="173"/>
      <c r="E32" s="173"/>
      <c r="F32" s="173"/>
      <c r="G32" s="173"/>
      <c r="H32" s="173"/>
      <c r="I32" s="173"/>
      <c r="J32" s="173"/>
      <c r="K32" s="173"/>
      <c r="L32" s="173"/>
      <c r="M32" s="173"/>
      <c r="N32" s="173"/>
      <c r="O32" s="173"/>
      <c r="P32" s="173"/>
      <c r="Q32" s="173"/>
      <c r="R32" s="173"/>
      <c r="S32" s="173"/>
      <c r="T32" s="163"/>
    </row>
    <row r="33" spans="1:20" hidden="1" outlineLevel="1" x14ac:dyDescent="0.35">
      <c r="A33" s="794"/>
      <c r="B33" s="221" t="s">
        <v>1</v>
      </c>
      <c r="C33" s="222" t="s">
        <v>3</v>
      </c>
      <c r="D33" s="220">
        <f t="shared" ref="D33:R33" si="21">D31*D32</f>
        <v>0</v>
      </c>
      <c r="E33" s="220">
        <f t="shared" si="21"/>
        <v>0</v>
      </c>
      <c r="F33" s="220">
        <f t="shared" si="21"/>
        <v>0</v>
      </c>
      <c r="G33" s="220">
        <f t="shared" si="21"/>
        <v>0</v>
      </c>
      <c r="H33" s="220">
        <f t="shared" si="21"/>
        <v>0</v>
      </c>
      <c r="I33" s="220">
        <f t="shared" si="21"/>
        <v>0</v>
      </c>
      <c r="J33" s="220">
        <f t="shared" si="21"/>
        <v>0</v>
      </c>
      <c r="K33" s="220">
        <f t="shared" si="21"/>
        <v>0</v>
      </c>
      <c r="L33" s="220">
        <f t="shared" si="21"/>
        <v>0</v>
      </c>
      <c r="M33" s="220">
        <f t="shared" si="21"/>
        <v>0</v>
      </c>
      <c r="N33" s="220">
        <f t="shared" si="21"/>
        <v>0</v>
      </c>
      <c r="O33" s="220">
        <f t="shared" si="21"/>
        <v>0</v>
      </c>
      <c r="P33" s="220">
        <f t="shared" si="21"/>
        <v>0</v>
      </c>
      <c r="Q33" s="220">
        <f t="shared" ref="Q33" si="22">Q31*Q32</f>
        <v>0</v>
      </c>
      <c r="R33" s="220">
        <f t="shared" si="21"/>
        <v>0</v>
      </c>
      <c r="S33" s="220">
        <f t="shared" ref="S33" si="23">S31*S32</f>
        <v>0</v>
      </c>
      <c r="T33" s="163"/>
    </row>
    <row r="34" spans="1:20" ht="5.25" hidden="1" customHeight="1" outlineLevel="1" x14ac:dyDescent="0.35">
      <c r="A34" s="223"/>
      <c r="B34" s="178"/>
      <c r="C34" s="179"/>
      <c r="D34" s="179"/>
      <c r="E34" s="179"/>
      <c r="F34" s="179"/>
      <c r="G34" s="179"/>
      <c r="H34" s="179"/>
      <c r="I34" s="179"/>
      <c r="J34" s="179"/>
      <c r="K34" s="179"/>
      <c r="L34" s="179"/>
      <c r="M34" s="179"/>
      <c r="N34" s="179"/>
      <c r="O34" s="179"/>
      <c r="P34" s="179"/>
      <c r="Q34" s="179"/>
      <c r="R34" s="180"/>
      <c r="S34" s="180"/>
      <c r="T34" s="163"/>
    </row>
    <row r="35" spans="1:20" hidden="1" outlineLevel="1" x14ac:dyDescent="0.35">
      <c r="A35" s="794" t="str">
        <f>'2. Tulud-kulud projektiga'!A35:A37</f>
        <v>Üüritulud. 5 korrus. Üüriruumid</v>
      </c>
      <c r="B35" s="218" t="str">
        <f>'2. Tulud-kulud projektiga'!B35</f>
        <v>Ühik 8</v>
      </c>
      <c r="C35" s="219" t="str">
        <f>'2. Tulud-kulud projektiga'!C35</f>
        <v>m2</v>
      </c>
      <c r="D35" s="173"/>
      <c r="E35" s="173"/>
      <c r="F35" s="173"/>
      <c r="G35" s="173"/>
      <c r="H35" s="173"/>
      <c r="I35" s="173"/>
      <c r="J35" s="173"/>
      <c r="K35" s="173"/>
      <c r="L35" s="173"/>
      <c r="M35" s="173"/>
      <c r="N35" s="173"/>
      <c r="O35" s="173"/>
      <c r="P35" s="173"/>
      <c r="Q35" s="173"/>
      <c r="R35" s="173"/>
      <c r="S35" s="173"/>
      <c r="T35" s="163"/>
    </row>
    <row r="36" spans="1:20" hidden="1" outlineLevel="1" x14ac:dyDescent="0.35">
      <c r="A36" s="794"/>
      <c r="B36" s="218" t="s">
        <v>0</v>
      </c>
      <c r="C36" s="219" t="s">
        <v>3</v>
      </c>
      <c r="D36" s="173"/>
      <c r="E36" s="173"/>
      <c r="F36" s="173"/>
      <c r="G36" s="173"/>
      <c r="H36" s="173"/>
      <c r="I36" s="173"/>
      <c r="J36" s="173"/>
      <c r="K36" s="173"/>
      <c r="L36" s="173"/>
      <c r="M36" s="173"/>
      <c r="N36" s="173"/>
      <c r="O36" s="173"/>
      <c r="P36" s="173"/>
      <c r="Q36" s="173"/>
      <c r="R36" s="173"/>
      <c r="S36" s="173"/>
      <c r="T36" s="163"/>
    </row>
    <row r="37" spans="1:20" hidden="1" outlineLevel="1" x14ac:dyDescent="0.35">
      <c r="A37" s="794"/>
      <c r="B37" s="221" t="s">
        <v>1</v>
      </c>
      <c r="C37" s="222" t="s">
        <v>3</v>
      </c>
      <c r="D37" s="220">
        <f t="shared" ref="D37:R37" si="24">D35*D36</f>
        <v>0</v>
      </c>
      <c r="E37" s="220">
        <f t="shared" si="24"/>
        <v>0</v>
      </c>
      <c r="F37" s="220">
        <f t="shared" si="24"/>
        <v>0</v>
      </c>
      <c r="G37" s="220">
        <f t="shared" si="24"/>
        <v>0</v>
      </c>
      <c r="H37" s="220">
        <f t="shared" si="24"/>
        <v>0</v>
      </c>
      <c r="I37" s="220">
        <f t="shared" si="24"/>
        <v>0</v>
      </c>
      <c r="J37" s="220">
        <f t="shared" si="24"/>
        <v>0</v>
      </c>
      <c r="K37" s="220">
        <f t="shared" si="24"/>
        <v>0</v>
      </c>
      <c r="L37" s="220">
        <f t="shared" si="24"/>
        <v>0</v>
      </c>
      <c r="M37" s="220">
        <f t="shared" si="24"/>
        <v>0</v>
      </c>
      <c r="N37" s="220">
        <f t="shared" si="24"/>
        <v>0</v>
      </c>
      <c r="O37" s="220">
        <f t="shared" si="24"/>
        <v>0</v>
      </c>
      <c r="P37" s="220">
        <f t="shared" si="24"/>
        <v>0</v>
      </c>
      <c r="Q37" s="220">
        <f t="shared" ref="Q37" si="25">Q35*Q36</f>
        <v>0</v>
      </c>
      <c r="R37" s="220">
        <f t="shared" si="24"/>
        <v>0</v>
      </c>
      <c r="S37" s="220">
        <f t="shared" ref="S37" si="26">S35*S36</f>
        <v>0</v>
      </c>
      <c r="T37" s="163"/>
    </row>
    <row r="38" spans="1:20" ht="5.25" hidden="1" customHeight="1" outlineLevel="1" x14ac:dyDescent="0.35">
      <c r="A38" s="223"/>
      <c r="B38" s="178"/>
      <c r="C38" s="179"/>
      <c r="D38" s="179"/>
      <c r="E38" s="179"/>
      <c r="F38" s="179"/>
      <c r="G38" s="179"/>
      <c r="H38" s="179"/>
      <c r="I38" s="179"/>
      <c r="J38" s="179"/>
      <c r="K38" s="179"/>
      <c r="L38" s="179"/>
      <c r="M38" s="179"/>
      <c r="N38" s="179"/>
      <c r="O38" s="179"/>
      <c r="P38" s="179"/>
      <c r="Q38" s="179"/>
      <c r="R38" s="180"/>
      <c r="S38" s="180"/>
      <c r="T38" s="163"/>
    </row>
    <row r="39" spans="1:20" hidden="1" outlineLevel="1" x14ac:dyDescent="0.35">
      <c r="A39" s="794">
        <f>'2. Tulud-kulud projektiga'!A39:A41</f>
        <v>0</v>
      </c>
      <c r="B39" s="218" t="str">
        <f>'2. Tulud-kulud projektiga'!B39</f>
        <v>Ühik 9</v>
      </c>
      <c r="C39" s="219" t="str">
        <f>'2. Tulud-kulud projektiga'!C39</f>
        <v>Kuud</v>
      </c>
      <c r="D39" s="173"/>
      <c r="E39" s="173"/>
      <c r="F39" s="173"/>
      <c r="G39" s="173"/>
      <c r="H39" s="173"/>
      <c r="I39" s="173"/>
      <c r="J39" s="173"/>
      <c r="K39" s="173"/>
      <c r="L39" s="173"/>
      <c r="M39" s="173"/>
      <c r="N39" s="173"/>
      <c r="O39" s="173"/>
      <c r="P39" s="173"/>
      <c r="Q39" s="173"/>
      <c r="R39" s="173"/>
      <c r="S39" s="173"/>
      <c r="T39" s="163"/>
    </row>
    <row r="40" spans="1:20" hidden="1" outlineLevel="1" x14ac:dyDescent="0.35">
      <c r="A40" s="794"/>
      <c r="B40" s="218" t="s">
        <v>0</v>
      </c>
      <c r="C40" s="219" t="s">
        <v>3</v>
      </c>
      <c r="D40" s="173"/>
      <c r="E40" s="173"/>
      <c r="F40" s="173"/>
      <c r="G40" s="173"/>
      <c r="H40" s="173"/>
      <c r="I40" s="173"/>
      <c r="J40" s="173"/>
      <c r="K40" s="173"/>
      <c r="L40" s="173"/>
      <c r="M40" s="173"/>
      <c r="N40" s="173"/>
      <c r="O40" s="173"/>
      <c r="P40" s="173"/>
      <c r="Q40" s="173"/>
      <c r="R40" s="173"/>
      <c r="S40" s="173"/>
      <c r="T40" s="163"/>
    </row>
    <row r="41" spans="1:20" hidden="1" outlineLevel="1" x14ac:dyDescent="0.35">
      <c r="A41" s="794"/>
      <c r="B41" s="221" t="s">
        <v>1</v>
      </c>
      <c r="C41" s="222" t="s">
        <v>3</v>
      </c>
      <c r="D41" s="220">
        <f t="shared" ref="D41:R41" si="27">D39*D40</f>
        <v>0</v>
      </c>
      <c r="E41" s="220">
        <f t="shared" si="27"/>
        <v>0</v>
      </c>
      <c r="F41" s="220">
        <f t="shared" si="27"/>
        <v>0</v>
      </c>
      <c r="G41" s="220">
        <f t="shared" si="27"/>
        <v>0</v>
      </c>
      <c r="H41" s="220">
        <f t="shared" si="27"/>
        <v>0</v>
      </c>
      <c r="I41" s="220">
        <f t="shared" si="27"/>
        <v>0</v>
      </c>
      <c r="J41" s="220">
        <f t="shared" si="27"/>
        <v>0</v>
      </c>
      <c r="K41" s="220">
        <f t="shared" si="27"/>
        <v>0</v>
      </c>
      <c r="L41" s="220">
        <f t="shared" si="27"/>
        <v>0</v>
      </c>
      <c r="M41" s="220">
        <f t="shared" si="27"/>
        <v>0</v>
      </c>
      <c r="N41" s="220">
        <f t="shared" si="27"/>
        <v>0</v>
      </c>
      <c r="O41" s="220">
        <f t="shared" si="27"/>
        <v>0</v>
      </c>
      <c r="P41" s="220">
        <f t="shared" si="27"/>
        <v>0</v>
      </c>
      <c r="Q41" s="220">
        <f t="shared" ref="Q41" si="28">Q39*Q40</f>
        <v>0</v>
      </c>
      <c r="R41" s="220">
        <f t="shared" si="27"/>
        <v>0</v>
      </c>
      <c r="S41" s="220">
        <f t="shared" ref="S41" si="29">S39*S40</f>
        <v>0</v>
      </c>
      <c r="T41" s="163"/>
    </row>
    <row r="42" spans="1:20" ht="5.25" hidden="1" customHeight="1" outlineLevel="1" x14ac:dyDescent="0.35">
      <c r="A42" s="223"/>
      <c r="B42" s="178"/>
      <c r="C42" s="179"/>
      <c r="D42" s="179"/>
      <c r="E42" s="179"/>
      <c r="F42" s="179"/>
      <c r="G42" s="179"/>
      <c r="H42" s="179"/>
      <c r="I42" s="179"/>
      <c r="J42" s="179"/>
      <c r="K42" s="179"/>
      <c r="L42" s="179"/>
      <c r="M42" s="179"/>
      <c r="N42" s="179"/>
      <c r="O42" s="179"/>
      <c r="P42" s="179"/>
      <c r="Q42" s="179"/>
      <c r="R42" s="180"/>
      <c r="S42" s="180"/>
      <c r="T42" s="163"/>
    </row>
    <row r="43" spans="1:20" hidden="1" outlineLevel="1" x14ac:dyDescent="0.35">
      <c r="A43" s="794" t="str">
        <f>'2. Tulud-kulud projektiga'!A43:A45</f>
        <v>Arved üürnikele kommunaalkulude eest</v>
      </c>
      <c r="B43" s="218" t="str">
        <f>'2. Tulud-kulud projektiga'!B43</f>
        <v>Ühik 10</v>
      </c>
      <c r="C43" s="219" t="str">
        <f>'2. Tulud-kulud projektiga'!C43</f>
        <v>Kuud</v>
      </c>
      <c r="D43" s="173"/>
      <c r="E43" s="173"/>
      <c r="F43" s="173"/>
      <c r="G43" s="173"/>
      <c r="H43" s="173"/>
      <c r="I43" s="173"/>
      <c r="J43" s="173"/>
      <c r="K43" s="173"/>
      <c r="L43" s="173"/>
      <c r="M43" s="173"/>
      <c r="N43" s="173"/>
      <c r="O43" s="173"/>
      <c r="P43" s="173"/>
      <c r="Q43" s="173"/>
      <c r="R43" s="173"/>
      <c r="S43" s="173"/>
      <c r="T43" s="163"/>
    </row>
    <row r="44" spans="1:20" hidden="1" outlineLevel="1" x14ac:dyDescent="0.35">
      <c r="A44" s="794"/>
      <c r="B44" s="218" t="s">
        <v>0</v>
      </c>
      <c r="C44" s="219" t="s">
        <v>3</v>
      </c>
      <c r="D44" s="173"/>
      <c r="E44" s="173"/>
      <c r="F44" s="173"/>
      <c r="G44" s="173"/>
      <c r="H44" s="173"/>
      <c r="I44" s="173"/>
      <c r="J44" s="173"/>
      <c r="K44" s="173"/>
      <c r="L44" s="173"/>
      <c r="M44" s="173"/>
      <c r="N44" s="173"/>
      <c r="O44" s="173"/>
      <c r="P44" s="173"/>
      <c r="Q44" s="173"/>
      <c r="R44" s="173"/>
      <c r="S44" s="173"/>
      <c r="T44" s="163"/>
    </row>
    <row r="45" spans="1:20" hidden="1" outlineLevel="1" x14ac:dyDescent="0.35">
      <c r="A45" s="794"/>
      <c r="B45" s="221" t="s">
        <v>1</v>
      </c>
      <c r="C45" s="222" t="s">
        <v>3</v>
      </c>
      <c r="D45" s="220">
        <f t="shared" ref="D45:R45" si="30">D43*D44</f>
        <v>0</v>
      </c>
      <c r="E45" s="220">
        <f t="shared" si="30"/>
        <v>0</v>
      </c>
      <c r="F45" s="220">
        <f t="shared" si="30"/>
        <v>0</v>
      </c>
      <c r="G45" s="220">
        <f t="shared" si="30"/>
        <v>0</v>
      </c>
      <c r="H45" s="220">
        <f t="shared" si="30"/>
        <v>0</v>
      </c>
      <c r="I45" s="220">
        <f t="shared" si="30"/>
        <v>0</v>
      </c>
      <c r="J45" s="220">
        <f t="shared" si="30"/>
        <v>0</v>
      </c>
      <c r="K45" s="220">
        <f t="shared" si="30"/>
        <v>0</v>
      </c>
      <c r="L45" s="220">
        <f t="shared" si="30"/>
        <v>0</v>
      </c>
      <c r="M45" s="220">
        <f t="shared" si="30"/>
        <v>0</v>
      </c>
      <c r="N45" s="220">
        <f t="shared" si="30"/>
        <v>0</v>
      </c>
      <c r="O45" s="220">
        <f t="shared" si="30"/>
        <v>0</v>
      </c>
      <c r="P45" s="220">
        <f t="shared" si="30"/>
        <v>0</v>
      </c>
      <c r="Q45" s="220">
        <f t="shared" ref="Q45" si="31">Q43*Q44</f>
        <v>0</v>
      </c>
      <c r="R45" s="220">
        <f t="shared" si="30"/>
        <v>0</v>
      </c>
      <c r="S45" s="220">
        <f t="shared" ref="S45" si="32">S43*S44</f>
        <v>0</v>
      </c>
      <c r="T45" s="163"/>
    </row>
    <row r="46" spans="1:20" ht="12" customHeight="1" collapsed="1" x14ac:dyDescent="0.35">
      <c r="A46" s="181"/>
      <c r="B46" s="178"/>
      <c r="C46" s="179"/>
      <c r="D46" s="179"/>
      <c r="E46" s="179"/>
      <c r="F46" s="179"/>
      <c r="G46" s="179"/>
      <c r="H46" s="179"/>
      <c r="I46" s="179"/>
      <c r="J46" s="179"/>
      <c r="K46" s="179"/>
      <c r="L46" s="179"/>
      <c r="M46" s="179"/>
      <c r="N46" s="179"/>
      <c r="O46" s="179"/>
      <c r="P46" s="179"/>
      <c r="Q46" s="179"/>
      <c r="R46" s="180"/>
      <c r="S46" s="180"/>
      <c r="T46" s="163"/>
    </row>
    <row r="47" spans="1:20" ht="18.75" customHeight="1" x14ac:dyDescent="0.35">
      <c r="A47" s="790" t="str">
        <f>'2. Tulud-kulud projektiga'!A47:B47</f>
        <v>Muu tulu (nimetage)</v>
      </c>
      <c r="B47" s="791"/>
      <c r="C47" s="222" t="s">
        <v>3</v>
      </c>
      <c r="D47" s="173"/>
      <c r="E47" s="173"/>
      <c r="F47" s="173"/>
      <c r="G47" s="173"/>
      <c r="H47" s="173"/>
      <c r="I47" s="173"/>
      <c r="J47" s="173"/>
      <c r="K47" s="173"/>
      <c r="L47" s="173"/>
      <c r="M47" s="173"/>
      <c r="N47" s="173"/>
      <c r="O47" s="173"/>
      <c r="P47" s="173"/>
      <c r="Q47" s="173"/>
      <c r="R47" s="173"/>
      <c r="S47" s="173"/>
      <c r="T47" s="163"/>
    </row>
    <row r="48" spans="1:20" ht="18.75" customHeight="1" x14ac:dyDescent="0.35">
      <c r="A48" s="790" t="str">
        <f>'2. Tulud-kulud projektiga'!A48:B48</f>
        <v>Muu tulu (nimetage)</v>
      </c>
      <c r="B48" s="791"/>
      <c r="C48" s="222" t="s">
        <v>3</v>
      </c>
      <c r="D48" s="173"/>
      <c r="E48" s="173"/>
      <c r="F48" s="173"/>
      <c r="G48" s="173"/>
      <c r="H48" s="173"/>
      <c r="I48" s="173"/>
      <c r="J48" s="173"/>
      <c r="K48" s="173"/>
      <c r="L48" s="173"/>
      <c r="M48" s="173"/>
      <c r="N48" s="173"/>
      <c r="O48" s="173"/>
      <c r="P48" s="173"/>
      <c r="Q48" s="173"/>
      <c r="R48" s="173"/>
      <c r="S48" s="173"/>
      <c r="T48" s="163"/>
    </row>
    <row r="49" spans="1:21" ht="18.75" customHeight="1" x14ac:dyDescent="0.35">
      <c r="A49" s="790" t="str">
        <f>'2. Tulud-kulud projektiga'!A49:B49</f>
        <v>Muu tulu (nimetage)</v>
      </c>
      <c r="B49" s="791"/>
      <c r="C49" s="222" t="s">
        <v>3</v>
      </c>
      <c r="D49" s="173"/>
      <c r="E49" s="173"/>
      <c r="F49" s="173"/>
      <c r="G49" s="173"/>
      <c r="H49" s="173"/>
      <c r="I49" s="173"/>
      <c r="J49" s="173"/>
      <c r="K49" s="173"/>
      <c r="L49" s="173"/>
      <c r="M49" s="173"/>
      <c r="N49" s="173"/>
      <c r="O49" s="173"/>
      <c r="P49" s="173"/>
      <c r="Q49" s="173"/>
      <c r="R49" s="173"/>
      <c r="S49" s="173"/>
      <c r="T49" s="163"/>
    </row>
    <row r="50" spans="1:21" ht="18.75" customHeight="1" x14ac:dyDescent="0.35">
      <c r="A50" s="790" t="str">
        <f>'2. Tulud-kulud projektiga'!A50:B50</f>
        <v>Muu tulu (nimetage)</v>
      </c>
      <c r="B50" s="791"/>
      <c r="C50" s="222" t="s">
        <v>3</v>
      </c>
      <c r="D50" s="173"/>
      <c r="E50" s="173"/>
      <c r="F50" s="173"/>
      <c r="G50" s="173"/>
      <c r="H50" s="173"/>
      <c r="I50" s="173"/>
      <c r="J50" s="173"/>
      <c r="K50" s="173"/>
      <c r="L50" s="173"/>
      <c r="M50" s="173"/>
      <c r="N50" s="173"/>
      <c r="O50" s="173"/>
      <c r="P50" s="173"/>
      <c r="Q50" s="173"/>
      <c r="R50" s="173"/>
      <c r="S50" s="173"/>
      <c r="T50" s="163"/>
    </row>
    <row r="51" spans="1:21" ht="18.75" customHeight="1" x14ac:dyDescent="0.35">
      <c r="A51" s="790" t="str">
        <f>'2. Tulud-kulud projektiga'!A51:B51</f>
        <v>Muu tulu (nimetage)</v>
      </c>
      <c r="B51" s="791"/>
      <c r="C51" s="222" t="s">
        <v>3</v>
      </c>
      <c r="D51" s="173"/>
      <c r="E51" s="173"/>
      <c r="F51" s="173"/>
      <c r="G51" s="173"/>
      <c r="H51" s="173"/>
      <c r="I51" s="173"/>
      <c r="J51" s="173"/>
      <c r="K51" s="173"/>
      <c r="L51" s="173"/>
      <c r="M51" s="173"/>
      <c r="N51" s="173"/>
      <c r="O51" s="173"/>
      <c r="P51" s="173"/>
      <c r="Q51" s="173"/>
      <c r="R51" s="173"/>
      <c r="S51" s="17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70"/>
      <c r="T52" s="163"/>
    </row>
    <row r="53" spans="1:21" s="185" customFormat="1" ht="21" customHeight="1" x14ac:dyDescent="0.35">
      <c r="A53" s="792" t="s">
        <v>8</v>
      </c>
      <c r="B53" s="793"/>
      <c r="C53" s="224" t="s">
        <v>3</v>
      </c>
      <c r="D53" s="225">
        <f t="shared" ref="D53:R53" si="33">D9+D13+D17+D21+D25+D29+D33+D37+D41+D45+D47+D48+D49+D50+D51</f>
        <v>0</v>
      </c>
      <c r="E53" s="225">
        <f t="shared" si="33"/>
        <v>0</v>
      </c>
      <c r="F53" s="225">
        <f t="shared" si="33"/>
        <v>0</v>
      </c>
      <c r="G53" s="225">
        <f t="shared" si="33"/>
        <v>0</v>
      </c>
      <c r="H53" s="225">
        <f t="shared" si="33"/>
        <v>0</v>
      </c>
      <c r="I53" s="225">
        <f t="shared" si="33"/>
        <v>0</v>
      </c>
      <c r="J53" s="225">
        <f t="shared" si="33"/>
        <v>0</v>
      </c>
      <c r="K53" s="225">
        <f t="shared" si="33"/>
        <v>0</v>
      </c>
      <c r="L53" s="225">
        <f t="shared" si="33"/>
        <v>0</v>
      </c>
      <c r="M53" s="225">
        <f t="shared" si="33"/>
        <v>0</v>
      </c>
      <c r="N53" s="225">
        <f t="shared" si="33"/>
        <v>0</v>
      </c>
      <c r="O53" s="225">
        <f t="shared" si="33"/>
        <v>0</v>
      </c>
      <c r="P53" s="225">
        <f t="shared" si="33"/>
        <v>0</v>
      </c>
      <c r="Q53" s="225">
        <f t="shared" ref="Q53" si="34">Q9+Q13+Q17+Q21+Q25+Q29+Q33+Q37+Q41+Q45+Q47+Q48+Q49+Q50+Q51</f>
        <v>0</v>
      </c>
      <c r="R53" s="225">
        <f t="shared" si="33"/>
        <v>0</v>
      </c>
      <c r="S53" s="225">
        <f t="shared" ref="S53" si="35">S9+S13+S17+S21+S25+S29+S33+S37+S41+S45+S47+S48+S49+S50+S51</f>
        <v>0</v>
      </c>
      <c r="T53" s="184"/>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70"/>
      <c r="T54" s="163"/>
    </row>
    <row r="55" spans="1:21"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1" ht="15.5" x14ac:dyDescent="0.35">
      <c r="A56" s="187" t="s">
        <v>9</v>
      </c>
      <c r="B56" s="186"/>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70"/>
      <c r="T57" s="163"/>
    </row>
    <row r="58" spans="1:21" x14ac:dyDescent="0.35">
      <c r="A58" s="794" t="str">
        <f>'2. Tulud-kulud projektiga'!A58:A79</f>
        <v>Tööjõukulud</v>
      </c>
      <c r="B58" s="218" t="str">
        <f>'2. Tulud-kulud projektiga'!B58</f>
        <v>Haldusjuht</v>
      </c>
      <c r="C58" s="219" t="s">
        <v>3</v>
      </c>
      <c r="D58" s="173"/>
      <c r="E58" s="173"/>
      <c r="F58" s="173"/>
      <c r="G58" s="173"/>
      <c r="H58" s="173"/>
      <c r="I58" s="173"/>
      <c r="J58" s="173"/>
      <c r="K58" s="173"/>
      <c r="L58" s="173"/>
      <c r="M58" s="173"/>
      <c r="N58" s="173"/>
      <c r="O58" s="173"/>
      <c r="P58" s="173"/>
      <c r="Q58" s="173"/>
      <c r="R58" s="173"/>
      <c r="S58" s="173"/>
      <c r="T58" s="188"/>
      <c r="U58" s="189"/>
    </row>
    <row r="59" spans="1:21" x14ac:dyDescent="0.35">
      <c r="A59" s="794"/>
      <c r="B59" s="218" t="str">
        <f>'2. Tulud-kulud projektiga'!B59</f>
        <v>Majandusjuht</v>
      </c>
      <c r="C59" s="219" t="s">
        <v>3</v>
      </c>
      <c r="D59" s="173"/>
      <c r="E59" s="173"/>
      <c r="F59" s="173"/>
      <c r="G59" s="173"/>
      <c r="H59" s="173"/>
      <c r="I59" s="173"/>
      <c r="J59" s="173"/>
      <c r="K59" s="173"/>
      <c r="L59" s="173"/>
      <c r="M59" s="173"/>
      <c r="N59" s="173"/>
      <c r="O59" s="173"/>
      <c r="P59" s="173"/>
      <c r="Q59" s="173"/>
      <c r="R59" s="173"/>
      <c r="S59" s="173"/>
      <c r="T59" s="188"/>
      <c r="U59" s="189"/>
    </row>
    <row r="60" spans="1:21" x14ac:dyDescent="0.35">
      <c r="A60" s="794"/>
      <c r="B60" s="218" t="str">
        <f>'2. Tulud-kulud projektiga'!B60</f>
        <v>Arendusjuht</v>
      </c>
      <c r="C60" s="219" t="s">
        <v>3</v>
      </c>
      <c r="D60" s="173"/>
      <c r="E60" s="173"/>
      <c r="F60" s="173"/>
      <c r="G60" s="173"/>
      <c r="H60" s="173"/>
      <c r="I60" s="173"/>
      <c r="J60" s="173"/>
      <c r="K60" s="173"/>
      <c r="L60" s="173"/>
      <c r="M60" s="173"/>
      <c r="N60" s="173"/>
      <c r="O60" s="173"/>
      <c r="P60" s="173"/>
      <c r="Q60" s="173"/>
      <c r="R60" s="173"/>
      <c r="S60" s="173"/>
      <c r="T60" s="188"/>
      <c r="U60" s="189"/>
    </row>
    <row r="61" spans="1:21" x14ac:dyDescent="0.35">
      <c r="A61" s="794"/>
      <c r="B61" s="218">
        <f>'2. Tulud-kulud projektiga'!B61</f>
        <v>0</v>
      </c>
      <c r="C61" s="219" t="s">
        <v>3</v>
      </c>
      <c r="D61" s="173"/>
      <c r="E61" s="173"/>
      <c r="F61" s="173"/>
      <c r="G61" s="173"/>
      <c r="H61" s="173"/>
      <c r="I61" s="173"/>
      <c r="J61" s="173"/>
      <c r="K61" s="173"/>
      <c r="L61" s="173"/>
      <c r="M61" s="173"/>
      <c r="N61" s="173"/>
      <c r="O61" s="173"/>
      <c r="P61" s="173"/>
      <c r="Q61" s="173"/>
      <c r="R61" s="173"/>
      <c r="S61" s="173"/>
      <c r="T61" s="188"/>
      <c r="U61" s="189"/>
    </row>
    <row r="62" spans="1:21" x14ac:dyDescent="0.35">
      <c r="A62" s="794"/>
      <c r="B62" s="218" t="str">
        <f>'2. Tulud-kulud projektiga'!B62</f>
        <v>Töötaja 5</v>
      </c>
      <c r="C62" s="219" t="s">
        <v>3</v>
      </c>
      <c r="D62" s="173"/>
      <c r="E62" s="173"/>
      <c r="F62" s="173"/>
      <c r="G62" s="173"/>
      <c r="H62" s="173"/>
      <c r="I62" s="173"/>
      <c r="J62" s="173"/>
      <c r="K62" s="173"/>
      <c r="L62" s="173"/>
      <c r="M62" s="173"/>
      <c r="N62" s="173"/>
      <c r="O62" s="173"/>
      <c r="P62" s="173"/>
      <c r="Q62" s="173"/>
      <c r="R62" s="173"/>
      <c r="S62" s="173"/>
      <c r="T62" s="188"/>
      <c r="U62" s="189"/>
    </row>
    <row r="63" spans="1:21" x14ac:dyDescent="0.35">
      <c r="A63" s="794"/>
      <c r="B63" s="218" t="str">
        <f>'2. Tulud-kulud projektiga'!B63</f>
        <v>Töötaja 6</v>
      </c>
      <c r="C63" s="219" t="s">
        <v>3</v>
      </c>
      <c r="D63" s="173"/>
      <c r="E63" s="173"/>
      <c r="F63" s="173"/>
      <c r="G63" s="173"/>
      <c r="H63" s="173"/>
      <c r="I63" s="173"/>
      <c r="J63" s="173"/>
      <c r="K63" s="173"/>
      <c r="L63" s="173"/>
      <c r="M63" s="173"/>
      <c r="N63" s="173"/>
      <c r="O63" s="173"/>
      <c r="P63" s="173"/>
      <c r="Q63" s="173"/>
      <c r="R63" s="173"/>
      <c r="S63" s="173"/>
      <c r="T63" s="188"/>
      <c r="U63" s="189"/>
    </row>
    <row r="64" spans="1:21" x14ac:dyDescent="0.35">
      <c r="A64" s="794"/>
      <c r="B64" s="218" t="str">
        <f>'2. Tulud-kulud projektiga'!B64</f>
        <v>Töötaja 7</v>
      </c>
      <c r="C64" s="219" t="s">
        <v>3</v>
      </c>
      <c r="D64" s="173"/>
      <c r="E64" s="173"/>
      <c r="F64" s="173"/>
      <c r="G64" s="173"/>
      <c r="H64" s="173"/>
      <c r="I64" s="173"/>
      <c r="J64" s="173"/>
      <c r="K64" s="173"/>
      <c r="L64" s="173"/>
      <c r="M64" s="173"/>
      <c r="N64" s="173"/>
      <c r="O64" s="173"/>
      <c r="P64" s="173"/>
      <c r="Q64" s="173"/>
      <c r="R64" s="173"/>
      <c r="S64" s="173"/>
      <c r="T64" s="188"/>
      <c r="U64" s="189"/>
    </row>
    <row r="65" spans="1:21" x14ac:dyDescent="0.35">
      <c r="A65" s="794"/>
      <c r="B65" s="218" t="str">
        <f>'2. Tulud-kulud projektiga'!B65</f>
        <v>Töötaja 8</v>
      </c>
      <c r="C65" s="219" t="s">
        <v>3</v>
      </c>
      <c r="D65" s="173"/>
      <c r="E65" s="173"/>
      <c r="F65" s="173"/>
      <c r="G65" s="173"/>
      <c r="H65" s="173"/>
      <c r="I65" s="173"/>
      <c r="J65" s="173"/>
      <c r="K65" s="173"/>
      <c r="L65" s="173"/>
      <c r="M65" s="173"/>
      <c r="N65" s="173"/>
      <c r="O65" s="173"/>
      <c r="P65" s="173"/>
      <c r="Q65" s="173"/>
      <c r="R65" s="173"/>
      <c r="S65" s="173"/>
      <c r="T65" s="188"/>
      <c r="U65" s="189"/>
    </row>
    <row r="66" spans="1:21" x14ac:dyDescent="0.35">
      <c r="A66" s="794"/>
      <c r="B66" s="218" t="str">
        <f>'2. Tulud-kulud projektiga'!B66</f>
        <v>Töötaja 9</v>
      </c>
      <c r="C66" s="219" t="s">
        <v>3</v>
      </c>
      <c r="D66" s="173"/>
      <c r="E66" s="173"/>
      <c r="F66" s="173"/>
      <c r="G66" s="173"/>
      <c r="H66" s="173"/>
      <c r="I66" s="173"/>
      <c r="J66" s="173"/>
      <c r="K66" s="173"/>
      <c r="L66" s="173"/>
      <c r="M66" s="173"/>
      <c r="N66" s="173"/>
      <c r="O66" s="173"/>
      <c r="P66" s="173"/>
      <c r="Q66" s="173"/>
      <c r="R66" s="173"/>
      <c r="S66" s="173"/>
      <c r="T66" s="188"/>
      <c r="U66" s="189"/>
    </row>
    <row r="67" spans="1:21" x14ac:dyDescent="0.35">
      <c r="A67" s="794"/>
      <c r="B67" s="218" t="str">
        <f>'2. Tulud-kulud projektiga'!B67</f>
        <v>Töötaja 10</v>
      </c>
      <c r="C67" s="219" t="s">
        <v>3</v>
      </c>
      <c r="D67" s="173"/>
      <c r="E67" s="173"/>
      <c r="F67" s="173"/>
      <c r="G67" s="173"/>
      <c r="H67" s="173"/>
      <c r="I67" s="173"/>
      <c r="J67" s="173"/>
      <c r="K67" s="173"/>
      <c r="L67" s="173"/>
      <c r="M67" s="173"/>
      <c r="N67" s="173"/>
      <c r="O67" s="173"/>
      <c r="P67" s="173"/>
      <c r="Q67" s="173"/>
      <c r="R67" s="173"/>
      <c r="S67" s="173"/>
      <c r="T67" s="188"/>
      <c r="U67" s="189"/>
    </row>
    <row r="68" spans="1:21" hidden="1" outlineLevel="1" x14ac:dyDescent="0.35">
      <c r="A68" s="794"/>
      <c r="B68" s="218" t="str">
        <f>'2. Tulud-kulud projektiga'!B68</f>
        <v>Töötaja 11</v>
      </c>
      <c r="C68" s="219" t="s">
        <v>3</v>
      </c>
      <c r="D68" s="173"/>
      <c r="E68" s="173"/>
      <c r="F68" s="173"/>
      <c r="G68" s="173"/>
      <c r="H68" s="173"/>
      <c r="I68" s="173"/>
      <c r="J68" s="173"/>
      <c r="K68" s="173"/>
      <c r="L68" s="173"/>
      <c r="M68" s="173"/>
      <c r="N68" s="173"/>
      <c r="O68" s="173"/>
      <c r="P68" s="173"/>
      <c r="Q68" s="173"/>
      <c r="R68" s="173"/>
      <c r="S68" s="173"/>
      <c r="T68" s="188"/>
      <c r="U68" s="189"/>
    </row>
    <row r="69" spans="1:21" hidden="1" outlineLevel="1" x14ac:dyDescent="0.35">
      <c r="A69" s="794"/>
      <c r="B69" s="218" t="str">
        <f>'2. Tulud-kulud projektiga'!B69</f>
        <v>Töötaja 12</v>
      </c>
      <c r="C69" s="219" t="s">
        <v>3</v>
      </c>
      <c r="D69" s="173"/>
      <c r="E69" s="173"/>
      <c r="F69" s="173"/>
      <c r="G69" s="173"/>
      <c r="H69" s="173"/>
      <c r="I69" s="173"/>
      <c r="J69" s="173"/>
      <c r="K69" s="173"/>
      <c r="L69" s="173"/>
      <c r="M69" s="173"/>
      <c r="N69" s="173"/>
      <c r="O69" s="173"/>
      <c r="P69" s="173"/>
      <c r="Q69" s="173"/>
      <c r="R69" s="173"/>
      <c r="S69" s="173"/>
      <c r="T69" s="188"/>
      <c r="U69" s="189"/>
    </row>
    <row r="70" spans="1:21" hidden="1" outlineLevel="1" x14ac:dyDescent="0.35">
      <c r="A70" s="794"/>
      <c r="B70" s="218" t="str">
        <f>'2. Tulud-kulud projektiga'!B70</f>
        <v>Töötaja 13</v>
      </c>
      <c r="C70" s="219" t="s">
        <v>3</v>
      </c>
      <c r="D70" s="173"/>
      <c r="E70" s="173"/>
      <c r="F70" s="173"/>
      <c r="G70" s="173"/>
      <c r="H70" s="173"/>
      <c r="I70" s="173"/>
      <c r="J70" s="173"/>
      <c r="K70" s="173"/>
      <c r="L70" s="173"/>
      <c r="M70" s="173"/>
      <c r="N70" s="173"/>
      <c r="O70" s="173"/>
      <c r="P70" s="173"/>
      <c r="Q70" s="173"/>
      <c r="R70" s="173"/>
      <c r="S70" s="173"/>
      <c r="T70" s="188"/>
      <c r="U70" s="189"/>
    </row>
    <row r="71" spans="1:21" hidden="1" outlineLevel="1" x14ac:dyDescent="0.35">
      <c r="A71" s="794"/>
      <c r="B71" s="218" t="str">
        <f>'2. Tulud-kulud projektiga'!B71</f>
        <v>Töötaja 14</v>
      </c>
      <c r="C71" s="219" t="s">
        <v>3</v>
      </c>
      <c r="D71" s="173"/>
      <c r="E71" s="173"/>
      <c r="F71" s="173"/>
      <c r="G71" s="173"/>
      <c r="H71" s="173"/>
      <c r="I71" s="173"/>
      <c r="J71" s="173"/>
      <c r="K71" s="173"/>
      <c r="L71" s="173"/>
      <c r="M71" s="173"/>
      <c r="N71" s="173"/>
      <c r="O71" s="173"/>
      <c r="P71" s="173"/>
      <c r="Q71" s="173"/>
      <c r="R71" s="173"/>
      <c r="S71" s="173"/>
      <c r="T71" s="188"/>
      <c r="U71" s="189"/>
    </row>
    <row r="72" spans="1:21" hidden="1" outlineLevel="1" x14ac:dyDescent="0.35">
      <c r="A72" s="794"/>
      <c r="B72" s="218" t="str">
        <f>'2. Tulud-kulud projektiga'!B72</f>
        <v>Töötaja 15</v>
      </c>
      <c r="C72" s="219" t="s">
        <v>3</v>
      </c>
      <c r="D72" s="173"/>
      <c r="E72" s="173"/>
      <c r="F72" s="173"/>
      <c r="G72" s="173"/>
      <c r="H72" s="173"/>
      <c r="I72" s="173"/>
      <c r="J72" s="173"/>
      <c r="K72" s="173"/>
      <c r="L72" s="173"/>
      <c r="M72" s="173"/>
      <c r="N72" s="173"/>
      <c r="O72" s="173"/>
      <c r="P72" s="173"/>
      <c r="Q72" s="173"/>
      <c r="R72" s="173"/>
      <c r="S72" s="173"/>
      <c r="T72" s="188"/>
      <c r="U72" s="189"/>
    </row>
    <row r="73" spans="1:21" hidden="1" outlineLevel="1" x14ac:dyDescent="0.35">
      <c r="A73" s="794"/>
      <c r="B73" s="218" t="str">
        <f>'2. Tulud-kulud projektiga'!B73</f>
        <v>Töötaja 16</v>
      </c>
      <c r="C73" s="219" t="s">
        <v>3</v>
      </c>
      <c r="D73" s="173"/>
      <c r="E73" s="173"/>
      <c r="F73" s="173"/>
      <c r="G73" s="173"/>
      <c r="H73" s="173"/>
      <c r="I73" s="173"/>
      <c r="J73" s="173"/>
      <c r="K73" s="173"/>
      <c r="L73" s="173"/>
      <c r="M73" s="173"/>
      <c r="N73" s="173"/>
      <c r="O73" s="173"/>
      <c r="P73" s="173"/>
      <c r="Q73" s="173"/>
      <c r="R73" s="173"/>
      <c r="S73" s="173"/>
      <c r="T73" s="188"/>
      <c r="U73" s="189"/>
    </row>
    <row r="74" spans="1:21" hidden="1" outlineLevel="1" x14ac:dyDescent="0.35">
      <c r="A74" s="794"/>
      <c r="B74" s="218" t="str">
        <f>'2. Tulud-kulud projektiga'!B74</f>
        <v>Töötaja 17</v>
      </c>
      <c r="C74" s="219" t="s">
        <v>3</v>
      </c>
      <c r="D74" s="173"/>
      <c r="E74" s="173"/>
      <c r="F74" s="173"/>
      <c r="G74" s="173"/>
      <c r="H74" s="173"/>
      <c r="I74" s="173"/>
      <c r="J74" s="173"/>
      <c r="K74" s="173"/>
      <c r="L74" s="173"/>
      <c r="M74" s="173"/>
      <c r="N74" s="173"/>
      <c r="O74" s="173"/>
      <c r="P74" s="173"/>
      <c r="Q74" s="173"/>
      <c r="R74" s="173"/>
      <c r="S74" s="173"/>
      <c r="T74" s="188"/>
      <c r="U74" s="189"/>
    </row>
    <row r="75" spans="1:21" hidden="1" outlineLevel="1" x14ac:dyDescent="0.35">
      <c r="A75" s="794"/>
      <c r="B75" s="218" t="str">
        <f>'2. Tulud-kulud projektiga'!B75</f>
        <v>Töötaja 18</v>
      </c>
      <c r="C75" s="219" t="s">
        <v>3</v>
      </c>
      <c r="D75" s="173"/>
      <c r="E75" s="173"/>
      <c r="F75" s="173"/>
      <c r="G75" s="173"/>
      <c r="H75" s="173"/>
      <c r="I75" s="173"/>
      <c r="J75" s="173"/>
      <c r="K75" s="173"/>
      <c r="L75" s="173"/>
      <c r="M75" s="173"/>
      <c r="N75" s="173"/>
      <c r="O75" s="173"/>
      <c r="P75" s="173"/>
      <c r="Q75" s="173"/>
      <c r="R75" s="173"/>
      <c r="S75" s="173"/>
      <c r="T75" s="188"/>
      <c r="U75" s="189"/>
    </row>
    <row r="76" spans="1:21" hidden="1" outlineLevel="1" x14ac:dyDescent="0.35">
      <c r="A76" s="794"/>
      <c r="B76" s="218" t="str">
        <f>'2. Tulud-kulud projektiga'!B76</f>
        <v>Töötaja 19</v>
      </c>
      <c r="C76" s="219" t="s">
        <v>3</v>
      </c>
      <c r="D76" s="173"/>
      <c r="E76" s="173"/>
      <c r="F76" s="173"/>
      <c r="G76" s="173"/>
      <c r="H76" s="173"/>
      <c r="I76" s="173"/>
      <c r="J76" s="173"/>
      <c r="K76" s="173"/>
      <c r="L76" s="173"/>
      <c r="M76" s="173"/>
      <c r="N76" s="173"/>
      <c r="O76" s="173"/>
      <c r="P76" s="173"/>
      <c r="Q76" s="173"/>
      <c r="R76" s="173"/>
      <c r="S76" s="173"/>
      <c r="T76" s="188"/>
      <c r="U76" s="189"/>
    </row>
    <row r="77" spans="1:21" hidden="1" outlineLevel="1" x14ac:dyDescent="0.35">
      <c r="A77" s="794"/>
      <c r="B77" s="218" t="str">
        <f>'2. Tulud-kulud projektiga'!B77</f>
        <v>Töötaja 20</v>
      </c>
      <c r="C77" s="219" t="s">
        <v>3</v>
      </c>
      <c r="D77" s="173"/>
      <c r="E77" s="173"/>
      <c r="F77" s="173"/>
      <c r="G77" s="173"/>
      <c r="H77" s="173"/>
      <c r="I77" s="173"/>
      <c r="J77" s="173"/>
      <c r="K77" s="173"/>
      <c r="L77" s="173"/>
      <c r="M77" s="173"/>
      <c r="N77" s="173"/>
      <c r="O77" s="173"/>
      <c r="P77" s="173"/>
      <c r="Q77" s="173"/>
      <c r="R77" s="173"/>
      <c r="S77" s="173"/>
      <c r="T77" s="188"/>
      <c r="U77" s="189"/>
    </row>
    <row r="78" spans="1:21" collapsed="1" x14ac:dyDescent="0.35">
      <c r="A78" s="794"/>
      <c r="B78" s="218" t="s">
        <v>18</v>
      </c>
      <c r="C78" s="219" t="s">
        <v>3</v>
      </c>
      <c r="D78" s="226">
        <f t="shared" ref="D78:R78" si="36">SUM(D58:D77)</f>
        <v>0</v>
      </c>
      <c r="E78" s="226">
        <f t="shared" si="36"/>
        <v>0</v>
      </c>
      <c r="F78" s="226">
        <f t="shared" si="36"/>
        <v>0</v>
      </c>
      <c r="G78" s="226">
        <f t="shared" si="36"/>
        <v>0</v>
      </c>
      <c r="H78" s="226">
        <f t="shared" si="36"/>
        <v>0</v>
      </c>
      <c r="I78" s="226">
        <f t="shared" si="36"/>
        <v>0</v>
      </c>
      <c r="J78" s="226">
        <f t="shared" si="36"/>
        <v>0</v>
      </c>
      <c r="K78" s="226">
        <f t="shared" si="36"/>
        <v>0</v>
      </c>
      <c r="L78" s="226">
        <f t="shared" si="36"/>
        <v>0</v>
      </c>
      <c r="M78" s="226">
        <f t="shared" si="36"/>
        <v>0</v>
      </c>
      <c r="N78" s="226">
        <f t="shared" si="36"/>
        <v>0</v>
      </c>
      <c r="O78" s="226">
        <f t="shared" si="36"/>
        <v>0</v>
      </c>
      <c r="P78" s="226">
        <f t="shared" si="36"/>
        <v>0</v>
      </c>
      <c r="Q78" s="226">
        <f t="shared" ref="Q78" si="37">SUM(Q58:Q77)</f>
        <v>0</v>
      </c>
      <c r="R78" s="226">
        <f t="shared" si="36"/>
        <v>0</v>
      </c>
      <c r="S78" s="226">
        <f t="shared" ref="S78" si="38">SUM(S58:S77)</f>
        <v>0</v>
      </c>
      <c r="T78" s="188"/>
      <c r="U78" s="189"/>
    </row>
    <row r="79" spans="1:21" x14ac:dyDescent="0.35">
      <c r="A79" s="794"/>
      <c r="B79" s="218" t="s">
        <v>17</v>
      </c>
      <c r="C79" s="227"/>
      <c r="D79" s="226">
        <f>D78*Maksumäärad!B5</f>
        <v>0</v>
      </c>
      <c r="E79" s="226">
        <f>E78*Maksumäärad!C5</f>
        <v>0</v>
      </c>
      <c r="F79" s="226">
        <f>F78*Maksumäärad!D5</f>
        <v>0</v>
      </c>
      <c r="G79" s="226">
        <f>G78*Maksumäärad!E5</f>
        <v>0</v>
      </c>
      <c r="H79" s="226">
        <f>H78*Maksumäärad!F5</f>
        <v>0</v>
      </c>
      <c r="I79" s="226">
        <f>I78*Maksumäärad!G5</f>
        <v>0</v>
      </c>
      <c r="J79" s="226">
        <f>J78*Maksumäärad!H5</f>
        <v>0</v>
      </c>
      <c r="K79" s="226">
        <f>K78*Maksumäärad!I5</f>
        <v>0</v>
      </c>
      <c r="L79" s="226">
        <f>L78*Maksumäärad!J5</f>
        <v>0</v>
      </c>
      <c r="M79" s="226">
        <f>M78*Maksumäärad!K5</f>
        <v>0</v>
      </c>
      <c r="N79" s="226">
        <f>N78*Maksumäärad!L5</f>
        <v>0</v>
      </c>
      <c r="O79" s="226">
        <f>O78*Maksumäärad!M5</f>
        <v>0</v>
      </c>
      <c r="P79" s="226">
        <f>P78*Maksumäärad!N5</f>
        <v>0</v>
      </c>
      <c r="Q79" s="226">
        <f>Q78*Maksumäärad!O5</f>
        <v>0</v>
      </c>
      <c r="R79" s="226">
        <f>R78*Maksumäärad!P5</f>
        <v>0</v>
      </c>
      <c r="S79" s="226">
        <f>S78*Maksumäärad!Q5</f>
        <v>0</v>
      </c>
      <c r="T79" s="188"/>
      <c r="U79" s="189"/>
    </row>
    <row r="80" spans="1:21" x14ac:dyDescent="0.35">
      <c r="A80" s="786" t="s">
        <v>19</v>
      </c>
      <c r="B80" s="787"/>
      <c r="C80" s="228"/>
      <c r="D80" s="229">
        <f t="shared" ref="D80:R80" si="39">SUM(D78:D79)</f>
        <v>0</v>
      </c>
      <c r="E80" s="229">
        <f t="shared" si="39"/>
        <v>0</v>
      </c>
      <c r="F80" s="229">
        <f t="shared" si="39"/>
        <v>0</v>
      </c>
      <c r="G80" s="229">
        <f t="shared" si="39"/>
        <v>0</v>
      </c>
      <c r="H80" s="229">
        <f t="shared" si="39"/>
        <v>0</v>
      </c>
      <c r="I80" s="229">
        <f t="shared" si="39"/>
        <v>0</v>
      </c>
      <c r="J80" s="229">
        <f t="shared" si="39"/>
        <v>0</v>
      </c>
      <c r="K80" s="229">
        <f t="shared" si="39"/>
        <v>0</v>
      </c>
      <c r="L80" s="229">
        <f t="shared" si="39"/>
        <v>0</v>
      </c>
      <c r="M80" s="229">
        <f t="shared" si="39"/>
        <v>0</v>
      </c>
      <c r="N80" s="229">
        <f t="shared" si="39"/>
        <v>0</v>
      </c>
      <c r="O80" s="229">
        <f t="shared" si="39"/>
        <v>0</v>
      </c>
      <c r="P80" s="229">
        <f t="shared" si="39"/>
        <v>0</v>
      </c>
      <c r="Q80" s="229">
        <f t="shared" ref="Q80" si="40">SUM(Q78:Q79)</f>
        <v>0</v>
      </c>
      <c r="R80" s="229">
        <f t="shared" si="39"/>
        <v>0</v>
      </c>
      <c r="S80" s="229">
        <f t="shared" ref="S80" si="41">SUM(S78:S79)</f>
        <v>0</v>
      </c>
      <c r="T80" s="188"/>
      <c r="U80" s="189"/>
    </row>
    <row r="81" spans="1:21" ht="4.5" customHeight="1" x14ac:dyDescent="0.35">
      <c r="A81" s="157"/>
      <c r="B81" s="158"/>
      <c r="C81" s="160"/>
      <c r="D81" s="194"/>
      <c r="E81" s="194"/>
      <c r="F81" s="194"/>
      <c r="G81" s="194"/>
      <c r="H81" s="194"/>
      <c r="I81" s="194"/>
      <c r="J81" s="194"/>
      <c r="K81" s="194"/>
      <c r="L81" s="194"/>
      <c r="M81" s="194"/>
      <c r="N81" s="194"/>
      <c r="O81" s="194"/>
      <c r="P81" s="194"/>
      <c r="Q81" s="194"/>
      <c r="R81" s="195"/>
      <c r="S81" s="195"/>
      <c r="T81" s="188"/>
      <c r="U81" s="189"/>
    </row>
    <row r="82" spans="1:21" x14ac:dyDescent="0.35">
      <c r="A82" s="794" t="str">
        <f>'2. Tulud-kulud projektiga'!A82:A91</f>
        <v>Halduskulud</v>
      </c>
      <c r="B82" s="218" t="str">
        <f>'2. Tulud-kulud projektiga'!B82</f>
        <v>Küte</v>
      </c>
      <c r="C82" s="219" t="s">
        <v>3</v>
      </c>
      <c r="D82" s="173"/>
      <c r="E82" s="173"/>
      <c r="F82" s="173"/>
      <c r="G82" s="173"/>
      <c r="H82" s="173"/>
      <c r="I82" s="173"/>
      <c r="J82" s="173"/>
      <c r="K82" s="173"/>
      <c r="L82" s="173"/>
      <c r="M82" s="173"/>
      <c r="N82" s="173"/>
      <c r="O82" s="173"/>
      <c r="P82" s="173"/>
      <c r="Q82" s="173"/>
      <c r="R82" s="173"/>
      <c r="S82" s="173"/>
      <c r="T82" s="188"/>
      <c r="U82" s="189"/>
    </row>
    <row r="83" spans="1:21" x14ac:dyDescent="0.35">
      <c r="A83" s="794"/>
      <c r="B83" s="218" t="str">
        <f>'2. Tulud-kulud projektiga'!B83</f>
        <v>Elekter</v>
      </c>
      <c r="C83" s="219" t="s">
        <v>3</v>
      </c>
      <c r="D83" s="173"/>
      <c r="E83" s="173"/>
      <c r="F83" s="173"/>
      <c r="G83" s="173"/>
      <c r="H83" s="173"/>
      <c r="I83" s="173"/>
      <c r="J83" s="173"/>
      <c r="K83" s="173"/>
      <c r="L83" s="173"/>
      <c r="M83" s="173"/>
      <c r="N83" s="173"/>
      <c r="O83" s="173"/>
      <c r="P83" s="173"/>
      <c r="Q83" s="173"/>
      <c r="R83" s="173"/>
      <c r="S83" s="173"/>
      <c r="T83" s="188"/>
      <c r="U83" s="189"/>
    </row>
    <row r="84" spans="1:21" x14ac:dyDescent="0.35">
      <c r="A84" s="794"/>
      <c r="B84" s="218" t="str">
        <f>'2. Tulud-kulud projektiga'!B84</f>
        <v>Vesi ja kanalisatsioon</v>
      </c>
      <c r="C84" s="219" t="s">
        <v>3</v>
      </c>
      <c r="D84" s="173"/>
      <c r="E84" s="173"/>
      <c r="F84" s="173"/>
      <c r="G84" s="173"/>
      <c r="H84" s="173"/>
      <c r="I84" s="173"/>
      <c r="J84" s="173"/>
      <c r="K84" s="173"/>
      <c r="L84" s="173"/>
      <c r="M84" s="173"/>
      <c r="N84" s="173"/>
      <c r="O84" s="173"/>
      <c r="P84" s="173"/>
      <c r="Q84" s="173"/>
      <c r="R84" s="173"/>
      <c r="S84" s="173"/>
      <c r="T84" s="188"/>
      <c r="U84" s="189"/>
    </row>
    <row r="85" spans="1:21" x14ac:dyDescent="0.35">
      <c r="A85" s="794"/>
      <c r="B85" s="218" t="str">
        <f>'2. Tulud-kulud projektiga'!B85</f>
        <v>Tehnohooldus</v>
      </c>
      <c r="C85" s="219" t="s">
        <v>3</v>
      </c>
      <c r="D85" s="173"/>
      <c r="E85" s="173"/>
      <c r="F85" s="173"/>
      <c r="G85" s="173"/>
      <c r="H85" s="173"/>
      <c r="I85" s="173"/>
      <c r="J85" s="173"/>
      <c r="K85" s="173"/>
      <c r="L85" s="173"/>
      <c r="M85" s="173"/>
      <c r="N85" s="173"/>
      <c r="O85" s="173"/>
      <c r="P85" s="173"/>
      <c r="Q85" s="173"/>
      <c r="R85" s="173"/>
      <c r="S85" s="173"/>
      <c r="T85" s="188"/>
      <c r="U85" s="189"/>
    </row>
    <row r="86" spans="1:21" x14ac:dyDescent="0.35">
      <c r="A86" s="794"/>
      <c r="B86" s="218" t="str">
        <f>'2. Tulud-kulud projektiga'!B86</f>
        <v>Hooldus (hooned)</v>
      </c>
      <c r="C86" s="219" t="s">
        <v>3</v>
      </c>
      <c r="D86" s="173"/>
      <c r="E86" s="173"/>
      <c r="F86" s="173"/>
      <c r="G86" s="173"/>
      <c r="H86" s="173"/>
      <c r="I86" s="173"/>
      <c r="J86" s="173"/>
      <c r="K86" s="173"/>
      <c r="L86" s="173"/>
      <c r="M86" s="173"/>
      <c r="N86" s="173"/>
      <c r="O86" s="173"/>
      <c r="P86" s="173"/>
      <c r="Q86" s="173"/>
      <c r="R86" s="173"/>
      <c r="S86" s="173"/>
      <c r="T86" s="188"/>
      <c r="U86" s="189"/>
    </row>
    <row r="87" spans="1:21" x14ac:dyDescent="0.35">
      <c r="A87" s="794"/>
      <c r="B87" s="218" t="str">
        <f>'2. Tulud-kulud projektiga'!B87</f>
        <v>Hooldus (territoorium)</v>
      </c>
      <c r="C87" s="219" t="s">
        <v>3</v>
      </c>
      <c r="D87" s="173"/>
      <c r="E87" s="173"/>
      <c r="F87" s="173"/>
      <c r="G87" s="173"/>
      <c r="H87" s="173"/>
      <c r="I87" s="173"/>
      <c r="J87" s="173"/>
      <c r="K87" s="173"/>
      <c r="L87" s="173"/>
      <c r="M87" s="173"/>
      <c r="N87" s="173"/>
      <c r="O87" s="173"/>
      <c r="P87" s="173"/>
      <c r="Q87" s="173"/>
      <c r="R87" s="173"/>
      <c r="S87" s="173"/>
      <c r="T87" s="188"/>
      <c r="U87" s="189"/>
    </row>
    <row r="88" spans="1:21" x14ac:dyDescent="0.35">
      <c r="A88" s="794"/>
      <c r="B88" s="218" t="str">
        <f>'2. Tulud-kulud projektiga'!B88</f>
        <v>Halduskulu 7</v>
      </c>
      <c r="C88" s="219" t="s">
        <v>3</v>
      </c>
      <c r="D88" s="173"/>
      <c r="E88" s="173"/>
      <c r="F88" s="173"/>
      <c r="G88" s="173"/>
      <c r="H88" s="173"/>
      <c r="I88" s="173"/>
      <c r="J88" s="173"/>
      <c r="K88" s="173"/>
      <c r="L88" s="173"/>
      <c r="M88" s="173"/>
      <c r="N88" s="173"/>
      <c r="O88" s="173"/>
      <c r="P88" s="173"/>
      <c r="Q88" s="173"/>
      <c r="R88" s="173"/>
      <c r="S88" s="173"/>
      <c r="T88" s="188"/>
      <c r="U88" s="189"/>
    </row>
    <row r="89" spans="1:21" x14ac:dyDescent="0.35">
      <c r="A89" s="794"/>
      <c r="B89" s="218" t="str">
        <f>'2. Tulud-kulud projektiga'!B89</f>
        <v>Halduskulu 8</v>
      </c>
      <c r="C89" s="219" t="s">
        <v>3</v>
      </c>
      <c r="D89" s="173"/>
      <c r="E89" s="173"/>
      <c r="F89" s="173"/>
      <c r="G89" s="173"/>
      <c r="H89" s="173"/>
      <c r="I89" s="173"/>
      <c r="J89" s="173"/>
      <c r="K89" s="173"/>
      <c r="L89" s="173"/>
      <c r="M89" s="173"/>
      <c r="N89" s="173"/>
      <c r="O89" s="173"/>
      <c r="P89" s="173"/>
      <c r="Q89" s="173"/>
      <c r="R89" s="173"/>
      <c r="S89" s="173"/>
      <c r="T89" s="188"/>
      <c r="U89" s="189"/>
    </row>
    <row r="90" spans="1:21" x14ac:dyDescent="0.35">
      <c r="A90" s="794"/>
      <c r="B90" s="218" t="str">
        <f>'2. Tulud-kulud projektiga'!B90</f>
        <v>Halduskulu 9</v>
      </c>
      <c r="C90" s="219" t="s">
        <v>3</v>
      </c>
      <c r="D90" s="173"/>
      <c r="E90" s="173"/>
      <c r="F90" s="173"/>
      <c r="G90" s="173"/>
      <c r="H90" s="173"/>
      <c r="I90" s="173"/>
      <c r="J90" s="173"/>
      <c r="K90" s="173"/>
      <c r="L90" s="173"/>
      <c r="M90" s="173"/>
      <c r="N90" s="173"/>
      <c r="O90" s="173"/>
      <c r="P90" s="173"/>
      <c r="Q90" s="173"/>
      <c r="R90" s="173"/>
      <c r="S90" s="173"/>
      <c r="T90" s="188"/>
      <c r="U90" s="189"/>
    </row>
    <row r="91" spans="1:21" x14ac:dyDescent="0.35">
      <c r="A91" s="794"/>
      <c r="B91" s="218" t="str">
        <f>'2. Tulud-kulud projektiga'!B91</f>
        <v>Halduskulu 10</v>
      </c>
      <c r="C91" s="219" t="s">
        <v>3</v>
      </c>
      <c r="D91" s="173"/>
      <c r="E91" s="173"/>
      <c r="F91" s="173"/>
      <c r="G91" s="173"/>
      <c r="H91" s="173"/>
      <c r="I91" s="173"/>
      <c r="J91" s="173"/>
      <c r="K91" s="173"/>
      <c r="L91" s="173"/>
      <c r="M91" s="173"/>
      <c r="N91" s="173"/>
      <c r="O91" s="173"/>
      <c r="P91" s="173"/>
      <c r="Q91" s="173"/>
      <c r="R91" s="173"/>
      <c r="S91" s="173"/>
      <c r="T91" s="188"/>
      <c r="U91" s="189"/>
    </row>
    <row r="92" spans="1:21" x14ac:dyDescent="0.35">
      <c r="A92" s="786" t="str">
        <f>'2. Tulud-kulud projektiga'!A92:B92</f>
        <v>Halduskulud kokku</v>
      </c>
      <c r="B92" s="787"/>
      <c r="C92" s="228"/>
      <c r="D92" s="229">
        <f t="shared" ref="D92:R92" si="42">SUM(D82:D91)</f>
        <v>0</v>
      </c>
      <c r="E92" s="229">
        <f t="shared" si="42"/>
        <v>0</v>
      </c>
      <c r="F92" s="229">
        <f t="shared" si="42"/>
        <v>0</v>
      </c>
      <c r="G92" s="229">
        <f t="shared" si="42"/>
        <v>0</v>
      </c>
      <c r="H92" s="229">
        <f t="shared" si="42"/>
        <v>0</v>
      </c>
      <c r="I92" s="229">
        <f t="shared" si="42"/>
        <v>0</v>
      </c>
      <c r="J92" s="229">
        <f t="shared" si="42"/>
        <v>0</v>
      </c>
      <c r="K92" s="229">
        <f t="shared" si="42"/>
        <v>0</v>
      </c>
      <c r="L92" s="229">
        <f t="shared" si="42"/>
        <v>0</v>
      </c>
      <c r="M92" s="229">
        <f t="shared" si="42"/>
        <v>0</v>
      </c>
      <c r="N92" s="229">
        <f t="shared" si="42"/>
        <v>0</v>
      </c>
      <c r="O92" s="229">
        <f t="shared" si="42"/>
        <v>0</v>
      </c>
      <c r="P92" s="229">
        <f t="shared" si="42"/>
        <v>0</v>
      </c>
      <c r="Q92" s="229">
        <f t="shared" si="42"/>
        <v>0</v>
      </c>
      <c r="R92" s="229">
        <f t="shared" si="42"/>
        <v>0</v>
      </c>
      <c r="S92" s="229">
        <f t="shared" ref="S92" si="43">SUM(S82:S91)</f>
        <v>0</v>
      </c>
      <c r="T92" s="188"/>
      <c r="U92" s="189"/>
    </row>
    <row r="93" spans="1:21" ht="4.5" customHeight="1" x14ac:dyDescent="0.35">
      <c r="A93" s="157"/>
      <c r="B93" s="158"/>
      <c r="C93" s="160"/>
      <c r="D93" s="194"/>
      <c r="E93" s="194"/>
      <c r="F93" s="194"/>
      <c r="G93" s="194"/>
      <c r="H93" s="194"/>
      <c r="I93" s="194"/>
      <c r="J93" s="194"/>
      <c r="K93" s="194"/>
      <c r="L93" s="194"/>
      <c r="M93" s="194"/>
      <c r="N93" s="194"/>
      <c r="O93" s="194"/>
      <c r="P93" s="194"/>
      <c r="Q93" s="194"/>
      <c r="R93" s="195"/>
      <c r="S93" s="195"/>
      <c r="T93" s="188"/>
      <c r="U93" s="189"/>
    </row>
    <row r="94" spans="1:21" x14ac:dyDescent="0.35">
      <c r="A94" s="795" t="str">
        <f>'2. Tulud-kulud projektiga'!A94:A103</f>
        <v>Turunduskulud</v>
      </c>
      <c r="B94" s="218" t="str">
        <f>'2. Tulud-kulud projektiga'!B94</f>
        <v>Turundus</v>
      </c>
      <c r="C94" s="219" t="s">
        <v>3</v>
      </c>
      <c r="D94" s="173"/>
      <c r="E94" s="173"/>
      <c r="F94" s="173"/>
      <c r="G94" s="173"/>
      <c r="H94" s="173"/>
      <c r="I94" s="173"/>
      <c r="J94" s="173"/>
      <c r="K94" s="173"/>
      <c r="L94" s="173"/>
      <c r="M94" s="173"/>
      <c r="N94" s="173"/>
      <c r="O94" s="173"/>
      <c r="P94" s="173"/>
      <c r="Q94" s="173"/>
      <c r="R94" s="173"/>
      <c r="S94" s="173"/>
      <c r="T94" s="188"/>
      <c r="U94" s="189"/>
    </row>
    <row r="95" spans="1:21" x14ac:dyDescent="0.35">
      <c r="A95" s="796"/>
      <c r="B95" s="218">
        <f>'2. Tulud-kulud projektiga'!B95</f>
        <v>0</v>
      </c>
      <c r="C95" s="219" t="s">
        <v>3</v>
      </c>
      <c r="D95" s="173"/>
      <c r="E95" s="173"/>
      <c r="F95" s="173"/>
      <c r="G95" s="173"/>
      <c r="H95" s="173"/>
      <c r="I95" s="173"/>
      <c r="J95" s="173"/>
      <c r="K95" s="173"/>
      <c r="L95" s="173"/>
      <c r="M95" s="173"/>
      <c r="N95" s="173"/>
      <c r="O95" s="173"/>
      <c r="P95" s="173"/>
      <c r="Q95" s="173"/>
      <c r="R95" s="173"/>
      <c r="S95" s="173"/>
      <c r="T95" s="188"/>
      <c r="U95" s="189"/>
    </row>
    <row r="96" spans="1:21" x14ac:dyDescent="0.35">
      <c r="A96" s="796"/>
      <c r="B96" s="218">
        <f>'2. Tulud-kulud projektiga'!B96</f>
        <v>0</v>
      </c>
      <c r="C96" s="219" t="s">
        <v>3</v>
      </c>
      <c r="D96" s="173"/>
      <c r="E96" s="173"/>
      <c r="F96" s="173"/>
      <c r="G96" s="173"/>
      <c r="H96" s="173"/>
      <c r="I96" s="173"/>
      <c r="J96" s="173"/>
      <c r="K96" s="173"/>
      <c r="L96" s="173"/>
      <c r="M96" s="173"/>
      <c r="N96" s="173"/>
      <c r="O96" s="173"/>
      <c r="P96" s="173"/>
      <c r="Q96" s="173"/>
      <c r="R96" s="173"/>
      <c r="S96" s="173"/>
      <c r="T96" s="188"/>
      <c r="U96" s="189"/>
    </row>
    <row r="97" spans="1:21" x14ac:dyDescent="0.35">
      <c r="A97" s="796"/>
      <c r="B97" s="218">
        <f>'2. Tulud-kulud projektiga'!B97</f>
        <v>0</v>
      </c>
      <c r="C97" s="219" t="s">
        <v>3</v>
      </c>
      <c r="D97" s="173"/>
      <c r="E97" s="173"/>
      <c r="F97" s="173"/>
      <c r="G97" s="173"/>
      <c r="H97" s="173"/>
      <c r="I97" s="173"/>
      <c r="J97" s="173"/>
      <c r="K97" s="173"/>
      <c r="L97" s="173"/>
      <c r="M97" s="173"/>
      <c r="N97" s="173"/>
      <c r="O97" s="173"/>
      <c r="P97" s="173"/>
      <c r="Q97" s="173"/>
      <c r="R97" s="173"/>
      <c r="S97" s="173"/>
      <c r="T97" s="188"/>
      <c r="U97" s="189"/>
    </row>
    <row r="98" spans="1:21" x14ac:dyDescent="0.35">
      <c r="A98" s="796"/>
      <c r="B98" s="218">
        <f>'2. Tulud-kulud projektiga'!B98</f>
        <v>0</v>
      </c>
      <c r="C98" s="219" t="s">
        <v>3</v>
      </c>
      <c r="D98" s="173"/>
      <c r="E98" s="173"/>
      <c r="F98" s="173"/>
      <c r="G98" s="173"/>
      <c r="H98" s="173"/>
      <c r="I98" s="173"/>
      <c r="J98" s="173"/>
      <c r="K98" s="173"/>
      <c r="L98" s="173"/>
      <c r="M98" s="173"/>
      <c r="N98" s="173"/>
      <c r="O98" s="173"/>
      <c r="P98" s="173"/>
      <c r="Q98" s="173"/>
      <c r="R98" s="173"/>
      <c r="S98" s="173"/>
      <c r="T98" s="188"/>
      <c r="U98" s="189"/>
    </row>
    <row r="99" spans="1:21" hidden="1" outlineLevel="1" x14ac:dyDescent="0.35">
      <c r="A99" s="796"/>
      <c r="B99" s="218" t="str">
        <f>'2. Tulud-kulud projektiga'!B99</f>
        <v>Kulu 6</v>
      </c>
      <c r="C99" s="219" t="s">
        <v>3</v>
      </c>
      <c r="D99" s="173"/>
      <c r="E99" s="173"/>
      <c r="F99" s="173"/>
      <c r="G99" s="173"/>
      <c r="H99" s="173"/>
      <c r="I99" s="173"/>
      <c r="J99" s="173"/>
      <c r="K99" s="173"/>
      <c r="L99" s="173"/>
      <c r="M99" s="173"/>
      <c r="N99" s="173"/>
      <c r="O99" s="173"/>
      <c r="P99" s="173"/>
      <c r="Q99" s="173"/>
      <c r="R99" s="173"/>
      <c r="S99" s="173"/>
      <c r="T99" s="188"/>
      <c r="U99" s="189"/>
    </row>
    <row r="100" spans="1:21" hidden="1" outlineLevel="1" x14ac:dyDescent="0.35">
      <c r="A100" s="796"/>
      <c r="B100" s="218" t="str">
        <f>'2. Tulud-kulud projektiga'!B100</f>
        <v>Kulu 7</v>
      </c>
      <c r="C100" s="219" t="s">
        <v>3</v>
      </c>
      <c r="D100" s="173"/>
      <c r="E100" s="173"/>
      <c r="F100" s="173"/>
      <c r="G100" s="173"/>
      <c r="H100" s="173"/>
      <c r="I100" s="173"/>
      <c r="J100" s="173"/>
      <c r="K100" s="173"/>
      <c r="L100" s="173"/>
      <c r="M100" s="173"/>
      <c r="N100" s="173"/>
      <c r="O100" s="173"/>
      <c r="P100" s="173"/>
      <c r="Q100" s="173"/>
      <c r="R100" s="173"/>
      <c r="S100" s="173"/>
      <c r="T100" s="188"/>
      <c r="U100" s="189"/>
    </row>
    <row r="101" spans="1:21" hidden="1" outlineLevel="1" x14ac:dyDescent="0.35">
      <c r="A101" s="796"/>
      <c r="B101" s="218" t="str">
        <f>'2. Tulud-kulud projektiga'!B101</f>
        <v>Kulu 8</v>
      </c>
      <c r="C101" s="219" t="s">
        <v>3</v>
      </c>
      <c r="D101" s="173"/>
      <c r="E101" s="173"/>
      <c r="F101" s="173"/>
      <c r="G101" s="173"/>
      <c r="H101" s="173"/>
      <c r="I101" s="173"/>
      <c r="J101" s="173"/>
      <c r="K101" s="173"/>
      <c r="L101" s="173"/>
      <c r="M101" s="173"/>
      <c r="N101" s="173"/>
      <c r="O101" s="173"/>
      <c r="P101" s="173"/>
      <c r="Q101" s="173"/>
      <c r="R101" s="173"/>
      <c r="S101" s="173"/>
      <c r="T101" s="188"/>
      <c r="U101" s="189"/>
    </row>
    <row r="102" spans="1:21" hidden="1" outlineLevel="1" x14ac:dyDescent="0.35">
      <c r="A102" s="796"/>
      <c r="B102" s="218" t="str">
        <f>'2. Tulud-kulud projektiga'!B102</f>
        <v>Kulu 9</v>
      </c>
      <c r="C102" s="219" t="s">
        <v>3</v>
      </c>
      <c r="D102" s="173"/>
      <c r="E102" s="173"/>
      <c r="F102" s="173"/>
      <c r="G102" s="173"/>
      <c r="H102" s="173"/>
      <c r="I102" s="173"/>
      <c r="J102" s="173"/>
      <c r="K102" s="173"/>
      <c r="L102" s="173"/>
      <c r="M102" s="173"/>
      <c r="N102" s="173"/>
      <c r="O102" s="173"/>
      <c r="P102" s="173"/>
      <c r="Q102" s="173"/>
      <c r="R102" s="173"/>
      <c r="S102" s="173"/>
      <c r="T102" s="188"/>
      <c r="U102" s="189"/>
    </row>
    <row r="103" spans="1:21" hidden="1" outlineLevel="1" x14ac:dyDescent="0.35">
      <c r="A103" s="797"/>
      <c r="B103" s="218" t="str">
        <f>'2. Tulud-kulud projektiga'!B103</f>
        <v>Kulu 10</v>
      </c>
      <c r="C103" s="219" t="s">
        <v>3</v>
      </c>
      <c r="D103" s="173"/>
      <c r="E103" s="173"/>
      <c r="F103" s="173"/>
      <c r="G103" s="173"/>
      <c r="H103" s="173"/>
      <c r="I103" s="173"/>
      <c r="J103" s="173"/>
      <c r="K103" s="173"/>
      <c r="L103" s="173"/>
      <c r="M103" s="173"/>
      <c r="N103" s="173"/>
      <c r="O103" s="173"/>
      <c r="P103" s="173"/>
      <c r="Q103" s="173"/>
      <c r="R103" s="173"/>
      <c r="S103" s="173"/>
      <c r="T103" s="188"/>
      <c r="U103" s="189"/>
    </row>
    <row r="104" spans="1:21" s="198" customFormat="1" collapsed="1" x14ac:dyDescent="0.35">
      <c r="A104" s="786" t="str">
        <f>'2. Tulud-kulud projektiga'!A104:B104</f>
        <v>Turunduskulud kokku</v>
      </c>
      <c r="B104" s="787"/>
      <c r="C104" s="228"/>
      <c r="D104" s="229">
        <f t="shared" ref="D104:R104" si="44">SUM(D94:D103)</f>
        <v>0</v>
      </c>
      <c r="E104" s="229">
        <f t="shared" si="44"/>
        <v>0</v>
      </c>
      <c r="F104" s="229">
        <f t="shared" si="44"/>
        <v>0</v>
      </c>
      <c r="G104" s="229">
        <f t="shared" si="44"/>
        <v>0</v>
      </c>
      <c r="H104" s="229">
        <f t="shared" si="44"/>
        <v>0</v>
      </c>
      <c r="I104" s="229">
        <f t="shared" si="44"/>
        <v>0</v>
      </c>
      <c r="J104" s="229">
        <f t="shared" si="44"/>
        <v>0</v>
      </c>
      <c r="K104" s="229">
        <f t="shared" si="44"/>
        <v>0</v>
      </c>
      <c r="L104" s="229">
        <f t="shared" si="44"/>
        <v>0</v>
      </c>
      <c r="M104" s="229">
        <f t="shared" si="44"/>
        <v>0</v>
      </c>
      <c r="N104" s="229">
        <f t="shared" si="44"/>
        <v>0</v>
      </c>
      <c r="O104" s="229">
        <f t="shared" si="44"/>
        <v>0</v>
      </c>
      <c r="P104" s="229">
        <f t="shared" si="44"/>
        <v>0</v>
      </c>
      <c r="Q104" s="229">
        <f t="shared" si="44"/>
        <v>0</v>
      </c>
      <c r="R104" s="229">
        <f t="shared" si="44"/>
        <v>0</v>
      </c>
      <c r="S104" s="229">
        <f t="shared" ref="S104" si="45">SUM(S94:S103)</f>
        <v>0</v>
      </c>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95"/>
      <c r="T105" s="188"/>
      <c r="U105" s="189"/>
    </row>
    <row r="106" spans="1:21" ht="16.5" customHeight="1" x14ac:dyDescent="0.35">
      <c r="A106" s="785" t="str">
        <f>'2. Tulud-kulud projektiga'!A106:B106</f>
        <v>Remonditööd</v>
      </c>
      <c r="B106" s="785"/>
      <c r="C106" s="219" t="s">
        <v>3</v>
      </c>
      <c r="D106" s="173"/>
      <c r="E106" s="173"/>
      <c r="F106" s="173"/>
      <c r="G106" s="173"/>
      <c r="H106" s="173"/>
      <c r="I106" s="173"/>
      <c r="J106" s="173"/>
      <c r="K106" s="173"/>
      <c r="L106" s="173"/>
      <c r="M106" s="173"/>
      <c r="N106" s="173"/>
      <c r="O106" s="173"/>
      <c r="P106" s="173"/>
      <c r="Q106" s="173"/>
      <c r="R106" s="173"/>
      <c r="S106" s="173"/>
      <c r="T106" s="188"/>
      <c r="U106" s="189"/>
    </row>
    <row r="107" spans="1:21" ht="16.5" customHeight="1" x14ac:dyDescent="0.35">
      <c r="A107" s="785" t="str">
        <f>'2. Tulud-kulud projektiga'!A107:B107</f>
        <v>Valve</v>
      </c>
      <c r="B107" s="785"/>
      <c r="C107" s="219" t="s">
        <v>3</v>
      </c>
      <c r="D107" s="173"/>
      <c r="E107" s="173"/>
      <c r="F107" s="173"/>
      <c r="G107" s="173"/>
      <c r="H107" s="173"/>
      <c r="I107" s="173"/>
      <c r="J107" s="173"/>
      <c r="K107" s="173"/>
      <c r="L107" s="173"/>
      <c r="M107" s="173"/>
      <c r="N107" s="173"/>
      <c r="O107" s="173"/>
      <c r="P107" s="173"/>
      <c r="Q107" s="173"/>
      <c r="R107" s="173"/>
      <c r="S107" s="173"/>
      <c r="T107" s="188"/>
      <c r="U107" s="189"/>
    </row>
    <row r="108" spans="1:21" ht="16.5" customHeight="1" x14ac:dyDescent="0.35">
      <c r="A108" s="785" t="str">
        <f>'2. Tulud-kulud projektiga'!A108:B108</f>
        <v>Kindlustus</v>
      </c>
      <c r="B108" s="785"/>
      <c r="C108" s="219" t="s">
        <v>3</v>
      </c>
      <c r="D108" s="173"/>
      <c r="E108" s="173"/>
      <c r="F108" s="173"/>
      <c r="G108" s="173"/>
      <c r="H108" s="173"/>
      <c r="I108" s="173"/>
      <c r="J108" s="173"/>
      <c r="K108" s="173"/>
      <c r="L108" s="173"/>
      <c r="M108" s="173"/>
      <c r="N108" s="173"/>
      <c r="O108" s="173"/>
      <c r="P108" s="173"/>
      <c r="Q108" s="173"/>
      <c r="R108" s="173"/>
      <c r="S108" s="173"/>
      <c r="T108" s="188"/>
      <c r="U108" s="189"/>
    </row>
    <row r="109" spans="1:21" ht="16.5" customHeight="1" x14ac:dyDescent="0.35">
      <c r="A109" s="785" t="str">
        <f>'2. Tulud-kulud projektiga'!A109:B109</f>
        <v>Muu</v>
      </c>
      <c r="B109" s="785"/>
      <c r="C109" s="219" t="s">
        <v>3</v>
      </c>
      <c r="D109" s="173"/>
      <c r="E109" s="173"/>
      <c r="F109" s="173"/>
      <c r="G109" s="173"/>
      <c r="H109" s="173"/>
      <c r="I109" s="173"/>
      <c r="J109" s="173"/>
      <c r="K109" s="173"/>
      <c r="L109" s="173"/>
      <c r="M109" s="173"/>
      <c r="N109" s="173"/>
      <c r="O109" s="173"/>
      <c r="P109" s="173"/>
      <c r="Q109" s="173"/>
      <c r="R109" s="173"/>
      <c r="S109" s="173"/>
      <c r="T109" s="188"/>
      <c r="U109" s="189"/>
    </row>
    <row r="110" spans="1:21" ht="16.5" customHeight="1" x14ac:dyDescent="0.35">
      <c r="A110" s="785" t="str">
        <f>'2. Tulud-kulud projektiga'!A110:B110</f>
        <v>Muu kulu 5</v>
      </c>
      <c r="B110" s="785"/>
      <c r="C110" s="219" t="s">
        <v>3</v>
      </c>
      <c r="D110" s="173"/>
      <c r="E110" s="173"/>
      <c r="F110" s="173"/>
      <c r="G110" s="173"/>
      <c r="H110" s="173"/>
      <c r="I110" s="173"/>
      <c r="J110" s="173"/>
      <c r="K110" s="173"/>
      <c r="L110" s="173"/>
      <c r="M110" s="173"/>
      <c r="N110" s="173"/>
      <c r="O110" s="173"/>
      <c r="P110" s="173"/>
      <c r="Q110" s="173"/>
      <c r="R110" s="173"/>
      <c r="S110" s="173"/>
      <c r="T110" s="188"/>
      <c r="U110" s="189"/>
    </row>
    <row r="111" spans="1:21" ht="16.5" hidden="1" customHeight="1" outlineLevel="1" x14ac:dyDescent="0.35">
      <c r="A111" s="785" t="str">
        <f>'2. Tulud-kulud projektiga'!A111:B111</f>
        <v>Asendusinvesteeringud:</v>
      </c>
      <c r="B111" s="785"/>
      <c r="C111" s="219" t="s">
        <v>3</v>
      </c>
      <c r="D111" s="173"/>
      <c r="E111" s="173"/>
      <c r="F111" s="173"/>
      <c r="G111" s="173"/>
      <c r="H111" s="173"/>
      <c r="I111" s="173"/>
      <c r="J111" s="173"/>
      <c r="K111" s="173"/>
      <c r="L111" s="173"/>
      <c r="M111" s="173"/>
      <c r="N111" s="173"/>
      <c r="O111" s="173"/>
      <c r="P111" s="173"/>
      <c r="Q111" s="173"/>
      <c r="R111" s="173"/>
      <c r="S111" s="173"/>
      <c r="T111" s="188"/>
      <c r="U111" s="189"/>
    </row>
    <row r="112" spans="1:21" ht="16.5" hidden="1" customHeight="1" outlineLevel="1" x14ac:dyDescent="0.35">
      <c r="A112" s="785" t="str">
        <f>'2. Tulud-kulud projektiga'!A112:B112</f>
        <v>Sisustus</v>
      </c>
      <c r="B112" s="785"/>
      <c r="C112" s="219" t="s">
        <v>3</v>
      </c>
      <c r="D112" s="173"/>
      <c r="E112" s="173"/>
      <c r="F112" s="173"/>
      <c r="G112" s="173"/>
      <c r="H112" s="173"/>
      <c r="I112" s="173"/>
      <c r="J112" s="173"/>
      <c r="K112" s="173"/>
      <c r="L112" s="173"/>
      <c r="M112" s="173"/>
      <c r="N112" s="173"/>
      <c r="O112" s="173"/>
      <c r="P112" s="173"/>
      <c r="Q112" s="173"/>
      <c r="R112" s="173"/>
      <c r="S112" s="173"/>
      <c r="T112" s="188"/>
      <c r="U112" s="189"/>
    </row>
    <row r="113" spans="1:21" ht="16.5" hidden="1" customHeight="1" outlineLevel="1" x14ac:dyDescent="0.35">
      <c r="A113" s="785" t="str">
        <f>'2. Tulud-kulud projektiga'!A113:B113</f>
        <v>Muu kulu 8</v>
      </c>
      <c r="B113" s="785"/>
      <c r="C113" s="219" t="s">
        <v>3</v>
      </c>
      <c r="D113" s="173"/>
      <c r="E113" s="173"/>
      <c r="F113" s="173"/>
      <c r="G113" s="173"/>
      <c r="H113" s="173"/>
      <c r="I113" s="173"/>
      <c r="J113" s="173"/>
      <c r="K113" s="173"/>
      <c r="L113" s="173"/>
      <c r="M113" s="173"/>
      <c r="N113" s="173"/>
      <c r="O113" s="173"/>
      <c r="P113" s="173"/>
      <c r="Q113" s="173"/>
      <c r="R113" s="173"/>
      <c r="S113" s="173"/>
      <c r="T113" s="188"/>
      <c r="U113" s="189"/>
    </row>
    <row r="114" spans="1:21" ht="16.5" hidden="1" customHeight="1" outlineLevel="1" x14ac:dyDescent="0.35">
      <c r="A114" s="785" t="str">
        <f>'2. Tulud-kulud projektiga'!A114:B114</f>
        <v>Muu kulu 9</v>
      </c>
      <c r="B114" s="785"/>
      <c r="C114" s="219" t="s">
        <v>3</v>
      </c>
      <c r="D114" s="173"/>
      <c r="E114" s="173"/>
      <c r="F114" s="173"/>
      <c r="G114" s="173"/>
      <c r="H114" s="173"/>
      <c r="I114" s="173"/>
      <c r="J114" s="173"/>
      <c r="K114" s="173"/>
      <c r="L114" s="173"/>
      <c r="M114" s="173"/>
      <c r="N114" s="173"/>
      <c r="O114" s="173"/>
      <c r="P114" s="173"/>
      <c r="Q114" s="173"/>
      <c r="R114" s="173"/>
      <c r="S114" s="173"/>
      <c r="T114" s="188"/>
      <c r="U114" s="189"/>
    </row>
    <row r="115" spans="1:21" ht="16.5" hidden="1" customHeight="1" outlineLevel="1" x14ac:dyDescent="0.35">
      <c r="A115" s="785" t="str">
        <f>'2. Tulud-kulud projektiga'!A115:B115</f>
        <v>Muu kulu 10</v>
      </c>
      <c r="B115" s="785"/>
      <c r="C115" s="219" t="s">
        <v>3</v>
      </c>
      <c r="D115" s="173"/>
      <c r="E115" s="173"/>
      <c r="F115" s="173"/>
      <c r="G115" s="173"/>
      <c r="H115" s="173"/>
      <c r="I115" s="173"/>
      <c r="J115" s="173"/>
      <c r="K115" s="173"/>
      <c r="L115" s="173"/>
      <c r="M115" s="173"/>
      <c r="N115" s="173"/>
      <c r="O115" s="173"/>
      <c r="P115" s="173"/>
      <c r="Q115" s="173"/>
      <c r="R115" s="173"/>
      <c r="S115" s="173"/>
      <c r="T115" s="188"/>
      <c r="U115" s="189"/>
    </row>
    <row r="116" spans="1:21" s="198" customFormat="1" collapsed="1" x14ac:dyDescent="0.35">
      <c r="A116" s="786" t="str">
        <f>'2. Tulud-kulud projektiga'!A116:B116</f>
        <v>Muud kulud kokku</v>
      </c>
      <c r="B116" s="787"/>
      <c r="C116" s="224" t="s">
        <v>3</v>
      </c>
      <c r="D116" s="229">
        <f t="shared" ref="D116:R116" si="46">SUM(D106:D115)</f>
        <v>0</v>
      </c>
      <c r="E116" s="229">
        <f t="shared" si="46"/>
        <v>0</v>
      </c>
      <c r="F116" s="229">
        <f t="shared" si="46"/>
        <v>0</v>
      </c>
      <c r="G116" s="229">
        <f t="shared" si="46"/>
        <v>0</v>
      </c>
      <c r="H116" s="229">
        <f t="shared" si="46"/>
        <v>0</v>
      </c>
      <c r="I116" s="229">
        <f t="shared" si="46"/>
        <v>0</v>
      </c>
      <c r="J116" s="229">
        <f t="shared" si="46"/>
        <v>0</v>
      </c>
      <c r="K116" s="229">
        <f t="shared" si="46"/>
        <v>0</v>
      </c>
      <c r="L116" s="229">
        <f t="shared" si="46"/>
        <v>0</v>
      </c>
      <c r="M116" s="229">
        <f t="shared" si="46"/>
        <v>0</v>
      </c>
      <c r="N116" s="229">
        <f t="shared" si="46"/>
        <v>0</v>
      </c>
      <c r="O116" s="229">
        <f t="shared" si="46"/>
        <v>0</v>
      </c>
      <c r="P116" s="229">
        <f t="shared" si="46"/>
        <v>0</v>
      </c>
      <c r="Q116" s="229">
        <f t="shared" ref="Q116" si="47">SUM(Q106:Q115)</f>
        <v>0</v>
      </c>
      <c r="R116" s="229">
        <f t="shared" si="46"/>
        <v>0</v>
      </c>
      <c r="S116" s="229">
        <f t="shared" ref="S116" si="48">SUM(S106:S115)</f>
        <v>0</v>
      </c>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95"/>
      <c r="T117" s="188"/>
      <c r="U117" s="189"/>
    </row>
    <row r="118" spans="1:21" s="185" customFormat="1" ht="19.5" customHeight="1" x14ac:dyDescent="0.35">
      <c r="A118" s="788" t="s">
        <v>30</v>
      </c>
      <c r="B118" s="789"/>
      <c r="C118" s="230" t="s">
        <v>3</v>
      </c>
      <c r="D118" s="225">
        <f t="shared" ref="D118:R118" si="49">D80+D92+D104+D116</f>
        <v>0</v>
      </c>
      <c r="E118" s="225">
        <f t="shared" si="49"/>
        <v>0</v>
      </c>
      <c r="F118" s="225">
        <f t="shared" si="49"/>
        <v>0</v>
      </c>
      <c r="G118" s="225">
        <f t="shared" si="49"/>
        <v>0</v>
      </c>
      <c r="H118" s="225">
        <f t="shared" si="49"/>
        <v>0</v>
      </c>
      <c r="I118" s="225">
        <f t="shared" si="49"/>
        <v>0</v>
      </c>
      <c r="J118" s="225">
        <f t="shared" si="49"/>
        <v>0</v>
      </c>
      <c r="K118" s="225">
        <f t="shared" si="49"/>
        <v>0</v>
      </c>
      <c r="L118" s="225">
        <f t="shared" si="49"/>
        <v>0</v>
      </c>
      <c r="M118" s="225">
        <f t="shared" si="49"/>
        <v>0</v>
      </c>
      <c r="N118" s="225">
        <f t="shared" si="49"/>
        <v>0</v>
      </c>
      <c r="O118" s="225">
        <f t="shared" si="49"/>
        <v>0</v>
      </c>
      <c r="P118" s="225">
        <f t="shared" si="49"/>
        <v>0</v>
      </c>
      <c r="Q118" s="225">
        <f t="shared" ref="Q118" si="50">Q80+Q92+Q104+Q116</f>
        <v>0</v>
      </c>
      <c r="R118" s="225">
        <f t="shared" si="49"/>
        <v>0</v>
      </c>
      <c r="S118" s="225">
        <f t="shared" ref="S118" si="51">S80+S92+S104+S116</f>
        <v>0</v>
      </c>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95"/>
      <c r="T119" s="188"/>
      <c r="U119" s="189"/>
    </row>
    <row r="120" spans="1:21" ht="23.25" customHeight="1" x14ac:dyDescent="0.35">
      <c r="A120" s="202"/>
      <c r="B120" s="165"/>
      <c r="C120" s="167"/>
      <c r="D120" s="203"/>
      <c r="E120" s="203"/>
      <c r="F120" s="203"/>
      <c r="G120" s="203"/>
      <c r="H120" s="203"/>
      <c r="I120" s="203"/>
      <c r="J120" s="203"/>
      <c r="K120" s="203"/>
      <c r="L120" s="203"/>
      <c r="M120" s="203"/>
      <c r="N120" s="203"/>
      <c r="O120" s="203"/>
      <c r="P120" s="203"/>
      <c r="Q120" s="203"/>
      <c r="R120" s="204"/>
      <c r="S120" s="204"/>
      <c r="T120" s="188"/>
      <c r="U120" s="189"/>
    </row>
    <row r="121" spans="1:21" s="185" customFormat="1" ht="21" customHeight="1" x14ac:dyDescent="0.35">
      <c r="A121" s="775" t="s">
        <v>31</v>
      </c>
      <c r="B121" s="776"/>
      <c r="C121" s="205" t="s">
        <v>3</v>
      </c>
      <c r="D121" s="206">
        <f t="shared" ref="D121:R121" si="52">D53-D118</f>
        <v>0</v>
      </c>
      <c r="E121" s="206">
        <f t="shared" si="52"/>
        <v>0</v>
      </c>
      <c r="F121" s="206">
        <f t="shared" si="52"/>
        <v>0</v>
      </c>
      <c r="G121" s="206">
        <f t="shared" si="52"/>
        <v>0</v>
      </c>
      <c r="H121" s="206">
        <f t="shared" si="52"/>
        <v>0</v>
      </c>
      <c r="I121" s="206">
        <f t="shared" si="52"/>
        <v>0</v>
      </c>
      <c r="J121" s="206">
        <f t="shared" si="52"/>
        <v>0</v>
      </c>
      <c r="K121" s="206">
        <f t="shared" si="52"/>
        <v>0</v>
      </c>
      <c r="L121" s="206">
        <f t="shared" si="52"/>
        <v>0</v>
      </c>
      <c r="M121" s="206">
        <f t="shared" si="52"/>
        <v>0</v>
      </c>
      <c r="N121" s="206">
        <f t="shared" si="52"/>
        <v>0</v>
      </c>
      <c r="O121" s="206">
        <f t="shared" si="52"/>
        <v>0</v>
      </c>
      <c r="P121" s="206">
        <f t="shared" si="52"/>
        <v>0</v>
      </c>
      <c r="Q121" s="206">
        <f t="shared" ref="Q121" si="53">Q53-Q118</f>
        <v>0</v>
      </c>
      <c r="R121" s="206">
        <f t="shared" si="52"/>
        <v>0</v>
      </c>
      <c r="S121" s="206">
        <f t="shared" ref="S121" si="54">S53-S118</f>
        <v>0</v>
      </c>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95"/>
      <c r="T122" s="188"/>
      <c r="U122" s="189"/>
    </row>
    <row r="123" spans="1:2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5.5" x14ac:dyDescent="0.35">
      <c r="A124" s="775" t="s">
        <v>172</v>
      </c>
      <c r="B124" s="776"/>
      <c r="C124" s="205" t="s">
        <v>3</v>
      </c>
      <c r="D124" s="206">
        <f>D121</f>
        <v>0</v>
      </c>
      <c r="E124" s="206">
        <f>D124+E121</f>
        <v>0</v>
      </c>
      <c r="F124" s="206">
        <f t="shared" ref="F124:P124" si="55">E124+F121</f>
        <v>0</v>
      </c>
      <c r="G124" s="206">
        <f t="shared" si="55"/>
        <v>0</v>
      </c>
      <c r="H124" s="206">
        <f t="shared" si="55"/>
        <v>0</v>
      </c>
      <c r="I124" s="206">
        <f t="shared" si="55"/>
        <v>0</v>
      </c>
      <c r="J124" s="206">
        <f t="shared" si="55"/>
        <v>0</v>
      </c>
      <c r="K124" s="206">
        <f t="shared" si="55"/>
        <v>0</v>
      </c>
      <c r="L124" s="206">
        <f t="shared" si="55"/>
        <v>0</v>
      </c>
      <c r="M124" s="206">
        <f t="shared" si="55"/>
        <v>0</v>
      </c>
      <c r="N124" s="206">
        <f t="shared" si="55"/>
        <v>0</v>
      </c>
      <c r="O124" s="206">
        <f t="shared" si="55"/>
        <v>0</v>
      </c>
      <c r="P124" s="206">
        <f t="shared" si="55"/>
        <v>0</v>
      </c>
      <c r="Q124" s="206">
        <f t="shared" ref="Q124" si="56">P124+Q121</f>
        <v>0</v>
      </c>
      <c r="R124" s="206">
        <f t="shared" ref="R124:S124" si="57">Q124+R121</f>
        <v>0</v>
      </c>
      <c r="S124" s="206">
        <f t="shared" si="57"/>
        <v>0</v>
      </c>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95"/>
      <c r="T125" s="188"/>
      <c r="U125" s="189"/>
    </row>
    <row r="126" spans="1:2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topLeftCell="A5" zoomScale="125" zoomScaleNormal="125" workbookViewId="0">
      <selection activeCell="D1" sqref="D1:D1048576"/>
    </sheetView>
  </sheetViews>
  <sheetFormatPr defaultColWidth="9.1796875" defaultRowHeight="14.5" outlineLevelRow="1" x14ac:dyDescent="0.35"/>
  <cols>
    <col min="1" max="1" width="20.453125" style="1" customWidth="1"/>
    <col min="2" max="2" width="19.453125" style="23" customWidth="1"/>
    <col min="3" max="3" width="7.453125" style="1" customWidth="1"/>
    <col min="4" max="4" width="10.36328125" style="1" hidden="1" customWidth="1"/>
    <col min="5" max="19" width="10.36328125" style="1" customWidth="1"/>
    <col min="20" max="16384" width="9.1796875" style="1"/>
  </cols>
  <sheetData>
    <row r="1" spans="1:20" s="36" customFormat="1" ht="22.5" customHeight="1" x14ac:dyDescent="0.35">
      <c r="A1" s="37" t="s">
        <v>71</v>
      </c>
      <c r="B1" s="35"/>
    </row>
    <row r="2" spans="1:20" s="42" customFormat="1" ht="15.75" customHeight="1" x14ac:dyDescent="0.35">
      <c r="A2" s="38"/>
      <c r="B2" s="39"/>
      <c r="C2" s="40"/>
      <c r="D2" s="41"/>
      <c r="E2" s="41"/>
      <c r="F2" s="41"/>
      <c r="G2" s="41"/>
      <c r="H2" s="41"/>
      <c r="I2" s="41"/>
      <c r="J2" s="41"/>
      <c r="K2" s="41"/>
      <c r="L2" s="41"/>
      <c r="M2" s="41"/>
      <c r="N2" s="41"/>
      <c r="O2" s="41"/>
      <c r="P2" s="41"/>
      <c r="Q2" s="41"/>
      <c r="R2" s="41"/>
      <c r="S2" s="41"/>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S3" si="3">Q3+1</f>
        <v>2038</v>
      </c>
      <c r="S3" s="46">
        <f t="shared" si="3"/>
        <v>2039</v>
      </c>
      <c r="T3" s="40"/>
    </row>
    <row r="4" spans="1:20" ht="4.5" customHeight="1" x14ac:dyDescent="0.35">
      <c r="A4" s="4"/>
      <c r="B4" s="25"/>
      <c r="C4" s="32"/>
      <c r="D4" s="33"/>
      <c r="E4" s="33"/>
      <c r="F4" s="33"/>
      <c r="G4" s="33"/>
      <c r="H4" s="33"/>
      <c r="I4" s="33"/>
      <c r="J4" s="33"/>
      <c r="K4" s="33"/>
      <c r="L4" s="33"/>
      <c r="M4" s="33"/>
      <c r="N4" s="33"/>
      <c r="O4" s="33"/>
      <c r="P4" s="33"/>
      <c r="Q4" s="33"/>
      <c r="R4" s="34"/>
      <c r="S4" s="34"/>
      <c r="T4" s="7"/>
    </row>
    <row r="5" spans="1:20" ht="18" customHeight="1" x14ac:dyDescent="0.35">
      <c r="A5" s="31" t="s">
        <v>60</v>
      </c>
      <c r="B5" s="27"/>
      <c r="C5" s="28" t="s">
        <v>2</v>
      </c>
      <c r="D5" s="29"/>
      <c r="E5" s="29"/>
      <c r="F5" s="29"/>
      <c r="G5" s="29"/>
      <c r="H5" s="29"/>
      <c r="I5" s="29"/>
      <c r="J5" s="29"/>
      <c r="K5" s="29"/>
      <c r="L5" s="29"/>
      <c r="M5" s="29"/>
      <c r="N5" s="29"/>
      <c r="O5" s="29"/>
      <c r="P5" s="29"/>
      <c r="Q5" s="29"/>
      <c r="R5" s="30"/>
      <c r="S5" s="30"/>
      <c r="T5" s="7"/>
    </row>
    <row r="6" spans="1:20" ht="4.5" customHeight="1" x14ac:dyDescent="0.35">
      <c r="A6" s="4"/>
      <c r="B6" s="25"/>
      <c r="C6" s="9"/>
      <c r="D6" s="9"/>
      <c r="E6" s="9"/>
      <c r="F6" s="9"/>
      <c r="G6" s="9"/>
      <c r="H6" s="9"/>
      <c r="I6" s="9"/>
      <c r="J6" s="9"/>
      <c r="K6" s="9"/>
      <c r="L6" s="9"/>
      <c r="M6" s="9"/>
      <c r="N6" s="9"/>
      <c r="O6" s="9"/>
      <c r="P6" s="9"/>
      <c r="Q6" s="9"/>
      <c r="R6" s="10"/>
      <c r="S6" s="10"/>
      <c r="T6" s="7"/>
    </row>
    <row r="7" spans="1:20" ht="15.75" customHeight="1" x14ac:dyDescent="0.35">
      <c r="A7" s="809" t="str">
        <f>'2. Tulud-kulud projektiga'!A7:A9</f>
        <v>Üüritulud. 1 korrus. Kohvik</v>
      </c>
      <c r="B7" s="50" t="str">
        <f>'2. Tulud-kulud projektiga'!B7</f>
        <v>Kuu</v>
      </c>
      <c r="C7" s="51" t="str">
        <f>'2. Tulud-kulud projektiga'!C7</f>
        <v>m2</v>
      </c>
      <c r="D7" s="11">
        <f>'2. Tulud-kulud projektiga'!D7-'3. Tulud-kulud projektita'!D7</f>
        <v>0</v>
      </c>
      <c r="E7" s="11">
        <f>'2. Tulud-kulud projektiga'!E7-'3. Tulud-kulud projektita'!E7</f>
        <v>0</v>
      </c>
      <c r="F7" s="11">
        <f>'2. Tulud-kulud projektiga'!F7-'3. Tulud-kulud projektita'!F7</f>
        <v>132.5</v>
      </c>
      <c r="G7" s="11">
        <f>'2. Tulud-kulud projektiga'!G7-'3. Tulud-kulud projektita'!G7</f>
        <v>132.5</v>
      </c>
      <c r="H7" s="11">
        <f>'2. Tulud-kulud projektiga'!H7-'3. Tulud-kulud projektita'!H7</f>
        <v>132.5</v>
      </c>
      <c r="I7" s="11">
        <f>'2. Tulud-kulud projektiga'!I7-'3. Tulud-kulud projektita'!I7</f>
        <v>132.5</v>
      </c>
      <c r="J7" s="11">
        <f>'2. Tulud-kulud projektiga'!J7-'3. Tulud-kulud projektita'!J7</f>
        <v>132.5</v>
      </c>
      <c r="K7" s="11">
        <f>'2. Tulud-kulud projektiga'!K7-'3. Tulud-kulud projektita'!K7</f>
        <v>132.5</v>
      </c>
      <c r="L7" s="11">
        <f>'2. Tulud-kulud projektiga'!L7-'3. Tulud-kulud projektita'!L7</f>
        <v>132.5</v>
      </c>
      <c r="M7" s="11">
        <f>'2. Tulud-kulud projektiga'!M7-'3. Tulud-kulud projektita'!M7</f>
        <v>132.5</v>
      </c>
      <c r="N7" s="11">
        <f>'2. Tulud-kulud projektiga'!N7-'3. Tulud-kulud projektita'!N7</f>
        <v>132.5</v>
      </c>
      <c r="O7" s="11">
        <f>'2. Tulud-kulud projektiga'!O7-'3. Tulud-kulud projektita'!O7</f>
        <v>132.5</v>
      </c>
      <c r="P7" s="11">
        <f>'2. Tulud-kulud projektiga'!P7-'3. Tulud-kulud projektita'!P7</f>
        <v>132.5</v>
      </c>
      <c r="Q7" s="11">
        <f>'2. Tulud-kulud projektiga'!Q7-'3. Tulud-kulud projektita'!Q7</f>
        <v>132.5</v>
      </c>
      <c r="R7" s="11">
        <f>'2. Tulud-kulud projektiga'!R7-'3. Tulud-kulud projektita'!R7</f>
        <v>132.5</v>
      </c>
      <c r="S7" s="11">
        <f>'2. Tulud-kulud projektiga'!S7-'3. Tulud-kulud projektita'!S7</f>
        <v>132.5</v>
      </c>
      <c r="T7" s="7"/>
    </row>
    <row r="8" spans="1:20" ht="15.75" customHeight="1" x14ac:dyDescent="0.35">
      <c r="A8" s="809"/>
      <c r="B8" s="50" t="s">
        <v>0</v>
      </c>
      <c r="C8" s="51" t="s">
        <v>3</v>
      </c>
      <c r="D8" s="11">
        <f>'2. Tulud-kulud projektiga'!D8-'3. Tulud-kulud projektita'!D8</f>
        <v>0</v>
      </c>
      <c r="E8" s="11">
        <f>'2. Tulud-kulud projektiga'!E8-'3. Tulud-kulud projektita'!E8</f>
        <v>0</v>
      </c>
      <c r="F8" s="11">
        <f>'2. Tulud-kulud projektiga'!F8-'3. Tulud-kulud projektita'!F8</f>
        <v>20</v>
      </c>
      <c r="G8" s="11">
        <f>'2. Tulud-kulud projektiga'!G8-'3. Tulud-kulud projektita'!G8</f>
        <v>60</v>
      </c>
      <c r="H8" s="11">
        <f>'2. Tulud-kulud projektiga'!H8-'3. Tulud-kulud projektita'!H8</f>
        <v>60</v>
      </c>
      <c r="I8" s="11">
        <f>'2. Tulud-kulud projektiga'!I8-'3. Tulud-kulud projektita'!I8</f>
        <v>60</v>
      </c>
      <c r="J8" s="11">
        <f>'2. Tulud-kulud projektiga'!J8-'3. Tulud-kulud projektita'!J8</f>
        <v>60</v>
      </c>
      <c r="K8" s="11">
        <f>'2. Tulud-kulud projektiga'!K8-'3. Tulud-kulud projektita'!K8</f>
        <v>60</v>
      </c>
      <c r="L8" s="11">
        <f>'2. Tulud-kulud projektiga'!L8-'3. Tulud-kulud projektita'!L8</f>
        <v>60</v>
      </c>
      <c r="M8" s="11">
        <f>'2. Tulud-kulud projektiga'!M8-'3. Tulud-kulud projektita'!M8</f>
        <v>60</v>
      </c>
      <c r="N8" s="11">
        <f>'2. Tulud-kulud projektiga'!N8-'3. Tulud-kulud projektita'!N8</f>
        <v>60</v>
      </c>
      <c r="O8" s="11">
        <f>'2. Tulud-kulud projektiga'!O8-'3. Tulud-kulud projektita'!O8</f>
        <v>60</v>
      </c>
      <c r="P8" s="11">
        <f>'2. Tulud-kulud projektiga'!P8-'3. Tulud-kulud projektita'!P8</f>
        <v>60</v>
      </c>
      <c r="Q8" s="11">
        <f>'2. Tulud-kulud projektiga'!Q8-'3. Tulud-kulud projektita'!Q8</f>
        <v>60</v>
      </c>
      <c r="R8" s="11">
        <f>'2. Tulud-kulud projektiga'!R8-'3. Tulud-kulud projektita'!R8</f>
        <v>60</v>
      </c>
      <c r="S8" s="11">
        <f>'2. Tulud-kulud projektiga'!S8-'3. Tulud-kulud projektita'!S8</f>
        <v>60</v>
      </c>
      <c r="T8" s="7"/>
    </row>
    <row r="9" spans="1:20" ht="15.75" customHeight="1" x14ac:dyDescent="0.35">
      <c r="A9" s="809"/>
      <c r="B9" s="52" t="s">
        <v>1</v>
      </c>
      <c r="C9" s="53" t="s">
        <v>3</v>
      </c>
      <c r="D9" s="54">
        <f>'2. Tulud-kulud projektiga'!D9-'3. Tulud-kulud projektita'!D9</f>
        <v>0</v>
      </c>
      <c r="E9" s="54">
        <f>'2. Tulud-kulud projektiga'!E9-'3. Tulud-kulud projektita'!E9</f>
        <v>0</v>
      </c>
      <c r="F9" s="54">
        <f>'2. Tulud-kulud projektiga'!F9-'3. Tulud-kulud projektita'!F9</f>
        <v>2650</v>
      </c>
      <c r="G9" s="54">
        <f>'2. Tulud-kulud projektiga'!G9-'3. Tulud-kulud projektita'!G9</f>
        <v>7950</v>
      </c>
      <c r="H9" s="54">
        <f>'2. Tulud-kulud projektiga'!H9-'3. Tulud-kulud projektita'!H9</f>
        <v>7950</v>
      </c>
      <c r="I9" s="54">
        <f>'2. Tulud-kulud projektiga'!I9-'3. Tulud-kulud projektita'!I9</f>
        <v>7950</v>
      </c>
      <c r="J9" s="54">
        <f>'2. Tulud-kulud projektiga'!J9-'3. Tulud-kulud projektita'!J9</f>
        <v>7950</v>
      </c>
      <c r="K9" s="54">
        <f>'2. Tulud-kulud projektiga'!K9-'3. Tulud-kulud projektita'!K9</f>
        <v>7950</v>
      </c>
      <c r="L9" s="54">
        <f>'2. Tulud-kulud projektiga'!L9-'3. Tulud-kulud projektita'!L9</f>
        <v>7950</v>
      </c>
      <c r="M9" s="54">
        <f>'2. Tulud-kulud projektiga'!M9-'3. Tulud-kulud projektita'!M9</f>
        <v>7950</v>
      </c>
      <c r="N9" s="54">
        <f>'2. Tulud-kulud projektiga'!N9-'3. Tulud-kulud projektita'!N9</f>
        <v>7950</v>
      </c>
      <c r="O9" s="54">
        <f>'2. Tulud-kulud projektiga'!O9-'3. Tulud-kulud projektita'!O9</f>
        <v>7950</v>
      </c>
      <c r="P9" s="54">
        <f>'2. Tulud-kulud projektiga'!P9-'3. Tulud-kulud projektita'!P9</f>
        <v>7950</v>
      </c>
      <c r="Q9" s="54">
        <f>'2. Tulud-kulud projektiga'!Q9-'3. Tulud-kulud projektita'!Q9</f>
        <v>7950</v>
      </c>
      <c r="R9" s="54">
        <f>'2. Tulud-kulud projektiga'!R9-'3. Tulud-kulud projektita'!R9</f>
        <v>7950</v>
      </c>
      <c r="S9" s="54">
        <f>'2. Tulud-kulud projektiga'!S9-'3. Tulud-kulud projektita'!S9</f>
        <v>7950</v>
      </c>
      <c r="T9" s="7"/>
    </row>
    <row r="10" spans="1:20" ht="4.5" customHeight="1" x14ac:dyDescent="0.35">
      <c r="A10" s="47"/>
      <c r="B10" s="26"/>
      <c r="C10" s="12"/>
      <c r="D10" s="12"/>
      <c r="E10" s="12"/>
      <c r="F10" s="12"/>
      <c r="G10" s="12"/>
      <c r="H10" s="12"/>
      <c r="I10" s="12"/>
      <c r="J10" s="12"/>
      <c r="K10" s="12"/>
      <c r="L10" s="12"/>
      <c r="M10" s="12"/>
      <c r="N10" s="12"/>
      <c r="O10" s="12"/>
      <c r="P10" s="12"/>
      <c r="Q10" s="12"/>
      <c r="R10" s="12"/>
      <c r="S10" s="12"/>
      <c r="T10" s="7"/>
    </row>
    <row r="11" spans="1:20" x14ac:dyDescent="0.35">
      <c r="A11" s="809" t="str">
        <f>'2. Tulud-kulud projektiga'!A11:A13</f>
        <v>Üüritulud. 2 korrus. Üüriruumid</v>
      </c>
      <c r="B11" s="50" t="str">
        <f>'2. Tulud-kulud projektiga'!B11</f>
        <v>Kuu</v>
      </c>
      <c r="C11" s="51" t="str">
        <f>'2. Tulud-kulud projektiga'!C11</f>
        <v>m2</v>
      </c>
      <c r="D11" s="11">
        <f>'2. Tulud-kulud projektiga'!D11-'3. Tulud-kulud projektita'!D11</f>
        <v>0</v>
      </c>
      <c r="E11" s="11">
        <f>'2. Tulud-kulud projektiga'!E11-'3. Tulud-kulud projektita'!E11</f>
        <v>0</v>
      </c>
      <c r="F11" s="11">
        <f>'2. Tulud-kulud projektiga'!F11-'3. Tulud-kulud projektita'!F11</f>
        <v>273.39999999999998</v>
      </c>
      <c r="G11" s="11">
        <f>'2. Tulud-kulud projektiga'!G11-'3. Tulud-kulud projektita'!G11</f>
        <v>273.39999999999998</v>
      </c>
      <c r="H11" s="11">
        <f>'2. Tulud-kulud projektiga'!H11-'3. Tulud-kulud projektita'!H11</f>
        <v>273.39999999999998</v>
      </c>
      <c r="I11" s="11">
        <f>'2. Tulud-kulud projektiga'!I11-'3. Tulud-kulud projektita'!I11</f>
        <v>273.39999999999998</v>
      </c>
      <c r="J11" s="11">
        <f>'2. Tulud-kulud projektiga'!J11-'3. Tulud-kulud projektita'!J11</f>
        <v>273.39999999999998</v>
      </c>
      <c r="K11" s="11">
        <f>'2. Tulud-kulud projektiga'!K11-'3. Tulud-kulud projektita'!K11</f>
        <v>273.39999999999998</v>
      </c>
      <c r="L11" s="11">
        <f>'2. Tulud-kulud projektiga'!L11-'3. Tulud-kulud projektita'!L11</f>
        <v>273.39999999999998</v>
      </c>
      <c r="M11" s="11">
        <f>'2. Tulud-kulud projektiga'!M11-'3. Tulud-kulud projektita'!M11</f>
        <v>273.39999999999998</v>
      </c>
      <c r="N11" s="11">
        <f>'2. Tulud-kulud projektiga'!N11-'3. Tulud-kulud projektita'!N11</f>
        <v>273.39999999999998</v>
      </c>
      <c r="O11" s="11">
        <f>'2. Tulud-kulud projektiga'!O11-'3. Tulud-kulud projektita'!O11</f>
        <v>273.39999999999998</v>
      </c>
      <c r="P11" s="11">
        <f>'2. Tulud-kulud projektiga'!P11-'3. Tulud-kulud projektita'!P11</f>
        <v>273.39999999999998</v>
      </c>
      <c r="Q11" s="11">
        <f>'2. Tulud-kulud projektiga'!Q11-'3. Tulud-kulud projektita'!Q11</f>
        <v>273.39999999999998</v>
      </c>
      <c r="R11" s="11">
        <f>'2. Tulud-kulud projektiga'!R11-'3. Tulud-kulud projektita'!R11</f>
        <v>273.39999999999998</v>
      </c>
      <c r="S11" s="11">
        <f>'2. Tulud-kulud projektiga'!S11-'3. Tulud-kulud projektita'!S11</f>
        <v>273.39999999999998</v>
      </c>
      <c r="T11" s="7"/>
    </row>
    <row r="12" spans="1:20" x14ac:dyDescent="0.35">
      <c r="A12" s="809"/>
      <c r="B12" s="50" t="s">
        <v>0</v>
      </c>
      <c r="C12" s="51" t="s">
        <v>3</v>
      </c>
      <c r="D12" s="11">
        <f>'2. Tulud-kulud projektiga'!D12-'3. Tulud-kulud projektita'!D12</f>
        <v>0</v>
      </c>
      <c r="E12" s="11">
        <f>'2. Tulud-kulud projektiga'!E12-'3. Tulud-kulud projektita'!E12</f>
        <v>0</v>
      </c>
      <c r="F12" s="11">
        <f>'2. Tulud-kulud projektiga'!F12-'3. Tulud-kulud projektita'!F12</f>
        <v>28</v>
      </c>
      <c r="G12" s="11">
        <f>'2. Tulud-kulud projektiga'!G12-'3. Tulud-kulud projektita'!G12</f>
        <v>84</v>
      </c>
      <c r="H12" s="11">
        <f>'2. Tulud-kulud projektiga'!H12-'3. Tulud-kulud projektita'!H12</f>
        <v>84</v>
      </c>
      <c r="I12" s="11">
        <f>'2. Tulud-kulud projektiga'!I12-'3. Tulud-kulud projektita'!I12</f>
        <v>84</v>
      </c>
      <c r="J12" s="11">
        <f>'2. Tulud-kulud projektiga'!J12-'3. Tulud-kulud projektita'!J12</f>
        <v>84</v>
      </c>
      <c r="K12" s="11">
        <f>'2. Tulud-kulud projektiga'!K12-'3. Tulud-kulud projektita'!K12</f>
        <v>84</v>
      </c>
      <c r="L12" s="11">
        <f>'2. Tulud-kulud projektiga'!L12-'3. Tulud-kulud projektita'!L12</f>
        <v>84</v>
      </c>
      <c r="M12" s="11">
        <f>'2. Tulud-kulud projektiga'!M12-'3. Tulud-kulud projektita'!M12</f>
        <v>84</v>
      </c>
      <c r="N12" s="11">
        <f>'2. Tulud-kulud projektiga'!N12-'3. Tulud-kulud projektita'!N12</f>
        <v>84</v>
      </c>
      <c r="O12" s="11">
        <f>'2. Tulud-kulud projektiga'!O12-'3. Tulud-kulud projektita'!O12</f>
        <v>84</v>
      </c>
      <c r="P12" s="11">
        <f>'2. Tulud-kulud projektiga'!P12-'3. Tulud-kulud projektita'!P12</f>
        <v>84</v>
      </c>
      <c r="Q12" s="11">
        <f>'2. Tulud-kulud projektiga'!Q12-'3. Tulud-kulud projektita'!Q12</f>
        <v>84</v>
      </c>
      <c r="R12" s="11">
        <f>'2. Tulud-kulud projektiga'!R12-'3. Tulud-kulud projektita'!R12</f>
        <v>84</v>
      </c>
      <c r="S12" s="11">
        <f>'2. Tulud-kulud projektiga'!S12-'3. Tulud-kulud projektita'!S12</f>
        <v>84</v>
      </c>
      <c r="T12" s="7"/>
    </row>
    <row r="13" spans="1:20" x14ac:dyDescent="0.35">
      <c r="A13" s="809"/>
      <c r="B13" s="52" t="s">
        <v>1</v>
      </c>
      <c r="C13" s="53" t="s">
        <v>3</v>
      </c>
      <c r="D13" s="54">
        <f>'2. Tulud-kulud projektiga'!D13-'3. Tulud-kulud projektita'!D13</f>
        <v>0</v>
      </c>
      <c r="E13" s="54">
        <f>'2. Tulud-kulud projektiga'!E13-'3. Tulud-kulud projektita'!E13</f>
        <v>0</v>
      </c>
      <c r="F13" s="54">
        <f>'2. Tulud-kulud projektiga'!F13-'3. Tulud-kulud projektita'!F13</f>
        <v>7655.1999999999989</v>
      </c>
      <c r="G13" s="54">
        <f>'2. Tulud-kulud projektiga'!G13-'3. Tulud-kulud projektita'!G13</f>
        <v>22965.599999999999</v>
      </c>
      <c r="H13" s="54">
        <f>'2. Tulud-kulud projektiga'!H13-'3. Tulud-kulud projektita'!H13</f>
        <v>22965.599999999999</v>
      </c>
      <c r="I13" s="54">
        <f>'2. Tulud-kulud projektiga'!I13-'3. Tulud-kulud projektita'!I13</f>
        <v>22965.599999999999</v>
      </c>
      <c r="J13" s="54">
        <f>'2. Tulud-kulud projektiga'!J13-'3. Tulud-kulud projektita'!J13</f>
        <v>22965.599999999999</v>
      </c>
      <c r="K13" s="54">
        <f>'2. Tulud-kulud projektiga'!K13-'3. Tulud-kulud projektita'!K13</f>
        <v>22965.599999999999</v>
      </c>
      <c r="L13" s="54">
        <f>'2. Tulud-kulud projektiga'!L13-'3. Tulud-kulud projektita'!L13</f>
        <v>22965.599999999999</v>
      </c>
      <c r="M13" s="54">
        <f>'2. Tulud-kulud projektiga'!M13-'3. Tulud-kulud projektita'!M13</f>
        <v>22965.599999999999</v>
      </c>
      <c r="N13" s="54">
        <f>'2. Tulud-kulud projektiga'!N13-'3. Tulud-kulud projektita'!N13</f>
        <v>22965.599999999999</v>
      </c>
      <c r="O13" s="54">
        <f>'2. Tulud-kulud projektiga'!O13-'3. Tulud-kulud projektita'!O13</f>
        <v>22965.599999999999</v>
      </c>
      <c r="P13" s="54">
        <f>'2. Tulud-kulud projektiga'!P13-'3. Tulud-kulud projektita'!P13</f>
        <v>22965.599999999999</v>
      </c>
      <c r="Q13" s="54">
        <f>'2. Tulud-kulud projektiga'!Q13-'3. Tulud-kulud projektita'!Q13</f>
        <v>22965.599999999999</v>
      </c>
      <c r="R13" s="54">
        <f>'2. Tulud-kulud projektiga'!R13-'3. Tulud-kulud projektita'!R13</f>
        <v>22965.599999999999</v>
      </c>
      <c r="S13" s="54">
        <f>'2. Tulud-kulud projektiga'!S13-'3. Tulud-kulud projektita'!S13</f>
        <v>22965.599999999999</v>
      </c>
      <c r="T13" s="7"/>
    </row>
    <row r="14" spans="1:20" ht="4.5" customHeight="1" x14ac:dyDescent="0.35">
      <c r="A14" s="47"/>
      <c r="B14" s="26"/>
      <c r="C14" s="12"/>
      <c r="D14" s="12"/>
      <c r="E14" s="12"/>
      <c r="F14" s="12"/>
      <c r="G14" s="12"/>
      <c r="H14" s="12"/>
      <c r="I14" s="12"/>
      <c r="J14" s="12"/>
      <c r="K14" s="12"/>
      <c r="L14" s="12"/>
      <c r="M14" s="12"/>
      <c r="N14" s="12"/>
      <c r="O14" s="12"/>
      <c r="P14" s="12"/>
      <c r="Q14" s="12"/>
      <c r="R14" s="12"/>
      <c r="S14" s="12"/>
      <c r="T14" s="7"/>
    </row>
    <row r="15" spans="1:20" x14ac:dyDescent="0.35">
      <c r="A15" s="809" t="str">
        <f>'2. Tulud-kulud projektiga'!A15:A17</f>
        <v>Üüritulud. 3 korrus. Üüriruumid</v>
      </c>
      <c r="B15" s="50" t="str">
        <f>'2. Tulud-kulud projektiga'!B15</f>
        <v>Ühik 3</v>
      </c>
      <c r="C15" s="51" t="str">
        <f>'2. Tulud-kulud projektiga'!C15</f>
        <v>m2</v>
      </c>
      <c r="D15" s="11">
        <f>'2. Tulud-kulud projektiga'!D15-'3. Tulud-kulud projektita'!D15</f>
        <v>0</v>
      </c>
      <c r="E15" s="11">
        <f>'2. Tulud-kulud projektiga'!E15-'3. Tulud-kulud projektita'!E15</f>
        <v>0</v>
      </c>
      <c r="F15" s="11">
        <f>'2. Tulud-kulud projektiga'!F15-'3. Tulud-kulud projektita'!F15</f>
        <v>26.4</v>
      </c>
      <c r="G15" s="11">
        <f>'2. Tulud-kulud projektiga'!G15-'3. Tulud-kulud projektita'!G15</f>
        <v>26.4</v>
      </c>
      <c r="H15" s="11">
        <f>'2. Tulud-kulud projektiga'!H15-'3. Tulud-kulud projektita'!H15</f>
        <v>26.4</v>
      </c>
      <c r="I15" s="11">
        <f>'2. Tulud-kulud projektiga'!I15-'3. Tulud-kulud projektita'!I15</f>
        <v>52.8</v>
      </c>
      <c r="J15" s="11">
        <f>'2. Tulud-kulud projektiga'!J15-'3. Tulud-kulud projektita'!J15</f>
        <v>52.8</v>
      </c>
      <c r="K15" s="11">
        <f>'2. Tulud-kulud projektiga'!K15-'3. Tulud-kulud projektita'!K15</f>
        <v>52.8</v>
      </c>
      <c r="L15" s="11">
        <f>'2. Tulud-kulud projektiga'!L15-'3. Tulud-kulud projektita'!L15</f>
        <v>52.8</v>
      </c>
      <c r="M15" s="11">
        <f>'2. Tulud-kulud projektiga'!M15-'3. Tulud-kulud projektita'!M15</f>
        <v>79.199999999999989</v>
      </c>
      <c r="N15" s="11">
        <f>'2. Tulud-kulud projektiga'!N15-'3. Tulud-kulud projektita'!N15</f>
        <v>79.199999999999989</v>
      </c>
      <c r="O15" s="11">
        <f>'2. Tulud-kulud projektiga'!O15-'3. Tulud-kulud projektita'!O15</f>
        <v>79.199999999999989</v>
      </c>
      <c r="P15" s="11">
        <f>'2. Tulud-kulud projektiga'!P15-'3. Tulud-kulud projektita'!P15</f>
        <v>79.199999999999989</v>
      </c>
      <c r="Q15" s="11">
        <f>'2. Tulud-kulud projektiga'!Q15-'3. Tulud-kulud projektita'!Q15</f>
        <v>79.199999999999989</v>
      </c>
      <c r="R15" s="11">
        <f>'2. Tulud-kulud projektiga'!R15-'3. Tulud-kulud projektita'!R15</f>
        <v>79.199999999999989</v>
      </c>
      <c r="S15" s="11">
        <f>'2. Tulud-kulud projektiga'!S15-'3. Tulud-kulud projektita'!S15</f>
        <v>79.199999999999989</v>
      </c>
      <c r="T15" s="7"/>
    </row>
    <row r="16" spans="1:20" x14ac:dyDescent="0.35">
      <c r="A16" s="809"/>
      <c r="B16" s="50" t="s">
        <v>0</v>
      </c>
      <c r="C16" s="51" t="s">
        <v>3</v>
      </c>
      <c r="D16" s="11">
        <f>'2. Tulud-kulud projektiga'!D16-'3. Tulud-kulud projektita'!D16</f>
        <v>0</v>
      </c>
      <c r="E16" s="11">
        <f>'2. Tulud-kulud projektiga'!E16-'3. Tulud-kulud projektita'!E16</f>
        <v>0</v>
      </c>
      <c r="F16" s="11">
        <f>'2. Tulud-kulud projektiga'!F16-'3. Tulud-kulud projektita'!F16</f>
        <v>60</v>
      </c>
      <c r="G16" s="11">
        <f>'2. Tulud-kulud projektiga'!G16-'3. Tulud-kulud projektita'!G16</f>
        <v>180</v>
      </c>
      <c r="H16" s="11">
        <f>'2. Tulud-kulud projektiga'!H16-'3. Tulud-kulud projektita'!H16</f>
        <v>180</v>
      </c>
      <c r="I16" s="11">
        <f>'2. Tulud-kulud projektiga'!I16-'3. Tulud-kulud projektita'!I16</f>
        <v>180</v>
      </c>
      <c r="J16" s="11">
        <f>'2. Tulud-kulud projektiga'!J16-'3. Tulud-kulud projektita'!J16</f>
        <v>180</v>
      </c>
      <c r="K16" s="11">
        <f>'2. Tulud-kulud projektiga'!K16-'3. Tulud-kulud projektita'!K16</f>
        <v>180</v>
      </c>
      <c r="L16" s="11">
        <f>'2. Tulud-kulud projektiga'!L16-'3. Tulud-kulud projektita'!L16</f>
        <v>180</v>
      </c>
      <c r="M16" s="11">
        <f>'2. Tulud-kulud projektiga'!M16-'3. Tulud-kulud projektita'!M16</f>
        <v>180</v>
      </c>
      <c r="N16" s="11">
        <f>'2. Tulud-kulud projektiga'!N16-'3. Tulud-kulud projektita'!N16</f>
        <v>180</v>
      </c>
      <c r="O16" s="11">
        <f>'2. Tulud-kulud projektiga'!O16-'3. Tulud-kulud projektita'!O16</f>
        <v>180</v>
      </c>
      <c r="P16" s="11">
        <f>'2. Tulud-kulud projektiga'!P16-'3. Tulud-kulud projektita'!P16</f>
        <v>180</v>
      </c>
      <c r="Q16" s="11">
        <f>'2. Tulud-kulud projektiga'!Q16-'3. Tulud-kulud projektita'!Q16</f>
        <v>180</v>
      </c>
      <c r="R16" s="11">
        <f>'2. Tulud-kulud projektiga'!R16-'3. Tulud-kulud projektita'!R16</f>
        <v>180</v>
      </c>
      <c r="S16" s="11">
        <f>'2. Tulud-kulud projektiga'!S16-'3. Tulud-kulud projektita'!S16</f>
        <v>180</v>
      </c>
      <c r="T16" s="7"/>
    </row>
    <row r="17" spans="1:20" x14ac:dyDescent="0.35">
      <c r="A17" s="809"/>
      <c r="B17" s="52" t="s">
        <v>1</v>
      </c>
      <c r="C17" s="53" t="s">
        <v>3</v>
      </c>
      <c r="D17" s="54">
        <f>'2. Tulud-kulud projektiga'!D17-'3. Tulud-kulud projektita'!D17</f>
        <v>0</v>
      </c>
      <c r="E17" s="54">
        <f>'2. Tulud-kulud projektiga'!E17-'3. Tulud-kulud projektita'!E17</f>
        <v>0</v>
      </c>
      <c r="F17" s="54">
        <f>'2. Tulud-kulud projektiga'!F17-'3. Tulud-kulud projektita'!F17</f>
        <v>1584</v>
      </c>
      <c r="G17" s="54">
        <f>'2. Tulud-kulud projektiga'!G17-'3. Tulud-kulud projektita'!G17</f>
        <v>4752</v>
      </c>
      <c r="H17" s="54">
        <f>'2. Tulud-kulud projektiga'!H17-'3. Tulud-kulud projektita'!H17</f>
        <v>4752</v>
      </c>
      <c r="I17" s="54">
        <f>'2. Tulud-kulud projektiga'!I17-'3. Tulud-kulud projektita'!I17</f>
        <v>9504</v>
      </c>
      <c r="J17" s="54">
        <f>'2. Tulud-kulud projektiga'!J17-'3. Tulud-kulud projektita'!J17</f>
        <v>9504</v>
      </c>
      <c r="K17" s="54">
        <f>'2. Tulud-kulud projektiga'!K17-'3. Tulud-kulud projektita'!K17</f>
        <v>9504</v>
      </c>
      <c r="L17" s="54">
        <f>'2. Tulud-kulud projektiga'!L17-'3. Tulud-kulud projektita'!L17</f>
        <v>9504</v>
      </c>
      <c r="M17" s="54">
        <f>'2. Tulud-kulud projektiga'!M17-'3. Tulud-kulud projektita'!M17</f>
        <v>14255.999999999998</v>
      </c>
      <c r="N17" s="54">
        <f>'2. Tulud-kulud projektiga'!N17-'3. Tulud-kulud projektita'!N17</f>
        <v>14255.999999999998</v>
      </c>
      <c r="O17" s="54">
        <f>'2. Tulud-kulud projektiga'!O17-'3. Tulud-kulud projektita'!O17</f>
        <v>14255.999999999998</v>
      </c>
      <c r="P17" s="54">
        <f>'2. Tulud-kulud projektiga'!P17-'3. Tulud-kulud projektita'!P17</f>
        <v>14255.999999999998</v>
      </c>
      <c r="Q17" s="54">
        <f>'2. Tulud-kulud projektiga'!Q17-'3. Tulud-kulud projektita'!Q17</f>
        <v>14255.999999999998</v>
      </c>
      <c r="R17" s="54">
        <f>'2. Tulud-kulud projektiga'!R17-'3. Tulud-kulud projektita'!R17</f>
        <v>14255.999999999998</v>
      </c>
      <c r="S17" s="54">
        <f>'2. Tulud-kulud projektiga'!S17-'3. Tulud-kulud projektita'!S17</f>
        <v>14255.999999999998</v>
      </c>
      <c r="T17" s="7"/>
    </row>
    <row r="18" spans="1:20" ht="4.5" customHeight="1" x14ac:dyDescent="0.35">
      <c r="A18" s="47"/>
      <c r="B18" s="26"/>
      <c r="C18" s="12"/>
      <c r="D18" s="12"/>
      <c r="E18" s="12"/>
      <c r="F18" s="12"/>
      <c r="G18" s="12"/>
      <c r="H18" s="12"/>
      <c r="I18" s="12"/>
      <c r="J18" s="12"/>
      <c r="K18" s="12"/>
      <c r="L18" s="12"/>
      <c r="M18" s="12"/>
      <c r="N18" s="12"/>
      <c r="O18" s="12"/>
      <c r="P18" s="12"/>
      <c r="Q18" s="12"/>
      <c r="R18" s="12"/>
      <c r="S18" s="12"/>
      <c r="T18" s="7"/>
    </row>
    <row r="19" spans="1:20" x14ac:dyDescent="0.35">
      <c r="A19" s="809" t="str">
        <f>'2. Tulud-kulud projektiga'!A19:A21</f>
        <v xml:space="preserve">Üüritulud. 3 korrus. Open Office. </v>
      </c>
      <c r="B19" s="50" t="str">
        <f>'2. Tulud-kulud projektiga'!B19</f>
        <v>Ühik 4</v>
      </c>
      <c r="C19" s="51" t="str">
        <f>'2. Tulud-kulud projektiga'!C19</f>
        <v>Kohta</v>
      </c>
      <c r="D19" s="11">
        <f>'2. Tulud-kulud projektiga'!D19-'3. Tulud-kulud projektita'!D19</f>
        <v>0</v>
      </c>
      <c r="E19" s="11">
        <f>'2. Tulud-kulud projektiga'!E19-'3. Tulud-kulud projektita'!E19</f>
        <v>0</v>
      </c>
      <c r="F19" s="11">
        <f>'2. Tulud-kulud projektiga'!F19-'3. Tulud-kulud projektita'!F19</f>
        <v>3</v>
      </c>
      <c r="G19" s="11">
        <f>'2. Tulud-kulud projektiga'!G19-'3. Tulud-kulud projektita'!G19</f>
        <v>3</v>
      </c>
      <c r="H19" s="11">
        <f>'2. Tulud-kulud projektiga'!H19-'3. Tulud-kulud projektita'!H19</f>
        <v>3</v>
      </c>
      <c r="I19" s="11">
        <f>'2. Tulud-kulud projektiga'!I19-'3. Tulud-kulud projektita'!I19</f>
        <v>6</v>
      </c>
      <c r="J19" s="11">
        <f>'2. Tulud-kulud projektiga'!J19-'3. Tulud-kulud projektita'!J19</f>
        <v>6</v>
      </c>
      <c r="K19" s="11">
        <f>'2. Tulud-kulud projektiga'!K19-'3. Tulud-kulud projektita'!K19</f>
        <v>6</v>
      </c>
      <c r="L19" s="11">
        <f>'2. Tulud-kulud projektiga'!L19-'3. Tulud-kulud projektita'!L19</f>
        <v>6</v>
      </c>
      <c r="M19" s="11">
        <f>'2. Tulud-kulud projektiga'!M19-'3. Tulud-kulud projektita'!M19</f>
        <v>9</v>
      </c>
      <c r="N19" s="11">
        <f>'2. Tulud-kulud projektiga'!N19-'3. Tulud-kulud projektita'!N19</f>
        <v>9</v>
      </c>
      <c r="O19" s="11">
        <f>'2. Tulud-kulud projektiga'!O19-'3. Tulud-kulud projektita'!O19</f>
        <v>9</v>
      </c>
      <c r="P19" s="11">
        <f>'2. Tulud-kulud projektiga'!P19-'3. Tulud-kulud projektita'!P19</f>
        <v>9</v>
      </c>
      <c r="Q19" s="11">
        <f>'2. Tulud-kulud projektiga'!Q19-'3. Tulud-kulud projektita'!Q19</f>
        <v>9</v>
      </c>
      <c r="R19" s="11">
        <f>'2. Tulud-kulud projektiga'!R19-'3. Tulud-kulud projektita'!R19</f>
        <v>9</v>
      </c>
      <c r="S19" s="11">
        <f>'2. Tulud-kulud projektiga'!S19-'3. Tulud-kulud projektita'!S19</f>
        <v>9</v>
      </c>
      <c r="T19" s="7"/>
    </row>
    <row r="20" spans="1:20" x14ac:dyDescent="0.35">
      <c r="A20" s="809"/>
      <c r="B20" s="50" t="s">
        <v>0</v>
      </c>
      <c r="C20" s="51" t="s">
        <v>3</v>
      </c>
      <c r="D20" s="11">
        <f>'2. Tulud-kulud projektiga'!D20-'3. Tulud-kulud projektita'!D20</f>
        <v>0</v>
      </c>
      <c r="E20" s="11">
        <f>'2. Tulud-kulud projektiga'!E20-'3. Tulud-kulud projektita'!E20</f>
        <v>0</v>
      </c>
      <c r="F20" s="11">
        <f>'2. Tulud-kulud projektiga'!F20-'3. Tulud-kulud projektita'!F20</f>
        <v>1260</v>
      </c>
      <c r="G20" s="11">
        <f>'2. Tulud-kulud projektiga'!G20-'3. Tulud-kulud projektita'!G20</f>
        <v>3780</v>
      </c>
      <c r="H20" s="11">
        <f>'2. Tulud-kulud projektiga'!H20-'3. Tulud-kulud projektita'!H20</f>
        <v>3780</v>
      </c>
      <c r="I20" s="11">
        <f>'2. Tulud-kulud projektiga'!I20-'3. Tulud-kulud projektita'!I20</f>
        <v>3780</v>
      </c>
      <c r="J20" s="11">
        <f>'2. Tulud-kulud projektiga'!J20-'3. Tulud-kulud projektita'!J20</f>
        <v>3780</v>
      </c>
      <c r="K20" s="11">
        <f>'2. Tulud-kulud projektiga'!K20-'3. Tulud-kulud projektita'!K20</f>
        <v>3780</v>
      </c>
      <c r="L20" s="11">
        <f>'2. Tulud-kulud projektiga'!L20-'3. Tulud-kulud projektita'!L20</f>
        <v>3780</v>
      </c>
      <c r="M20" s="11">
        <f>'2. Tulud-kulud projektiga'!M20-'3. Tulud-kulud projektita'!M20</f>
        <v>3780</v>
      </c>
      <c r="N20" s="11">
        <f>'2. Tulud-kulud projektiga'!N20-'3. Tulud-kulud projektita'!N20</f>
        <v>3780</v>
      </c>
      <c r="O20" s="11">
        <f>'2. Tulud-kulud projektiga'!O20-'3. Tulud-kulud projektita'!O20</f>
        <v>3780</v>
      </c>
      <c r="P20" s="11">
        <f>'2. Tulud-kulud projektiga'!P20-'3. Tulud-kulud projektita'!P20</f>
        <v>3780</v>
      </c>
      <c r="Q20" s="11">
        <f>'2. Tulud-kulud projektiga'!Q20-'3. Tulud-kulud projektita'!Q20</f>
        <v>3780</v>
      </c>
      <c r="R20" s="11">
        <f>'2. Tulud-kulud projektiga'!R20-'3. Tulud-kulud projektita'!R20</f>
        <v>3780</v>
      </c>
      <c r="S20" s="11">
        <f>'2. Tulud-kulud projektiga'!S20-'3. Tulud-kulud projektita'!S20</f>
        <v>3780</v>
      </c>
      <c r="T20" s="7"/>
    </row>
    <row r="21" spans="1:20" x14ac:dyDescent="0.35">
      <c r="A21" s="809"/>
      <c r="B21" s="52" t="s">
        <v>1</v>
      </c>
      <c r="C21" s="53" t="s">
        <v>3</v>
      </c>
      <c r="D21" s="54">
        <f>'2. Tulud-kulud projektiga'!D21-'3. Tulud-kulud projektita'!D21</f>
        <v>0</v>
      </c>
      <c r="E21" s="54">
        <f>'2. Tulud-kulud projektiga'!E21-'3. Tulud-kulud projektita'!E21</f>
        <v>0</v>
      </c>
      <c r="F21" s="54">
        <f>'2. Tulud-kulud projektiga'!F21-'3. Tulud-kulud projektita'!F21</f>
        <v>3780</v>
      </c>
      <c r="G21" s="54">
        <f>'2. Tulud-kulud projektiga'!G21-'3. Tulud-kulud projektita'!G21</f>
        <v>11340</v>
      </c>
      <c r="H21" s="54">
        <f>'2. Tulud-kulud projektiga'!H21-'3. Tulud-kulud projektita'!H21</f>
        <v>11340</v>
      </c>
      <c r="I21" s="54">
        <f>'2. Tulud-kulud projektiga'!I21-'3. Tulud-kulud projektita'!I21</f>
        <v>22680</v>
      </c>
      <c r="J21" s="54">
        <f>'2. Tulud-kulud projektiga'!J21-'3. Tulud-kulud projektita'!J21</f>
        <v>22680</v>
      </c>
      <c r="K21" s="54">
        <f>'2. Tulud-kulud projektiga'!K21-'3. Tulud-kulud projektita'!K21</f>
        <v>22680</v>
      </c>
      <c r="L21" s="54">
        <f>'2. Tulud-kulud projektiga'!L21-'3. Tulud-kulud projektita'!L21</f>
        <v>22680</v>
      </c>
      <c r="M21" s="54">
        <f>'2. Tulud-kulud projektiga'!M21-'3. Tulud-kulud projektita'!M21</f>
        <v>34020</v>
      </c>
      <c r="N21" s="54">
        <f>'2. Tulud-kulud projektiga'!N21-'3. Tulud-kulud projektita'!N21</f>
        <v>34020</v>
      </c>
      <c r="O21" s="54">
        <f>'2. Tulud-kulud projektiga'!O21-'3. Tulud-kulud projektita'!O21</f>
        <v>34020</v>
      </c>
      <c r="P21" s="54">
        <f>'2. Tulud-kulud projektiga'!P21-'3. Tulud-kulud projektita'!P21</f>
        <v>34020</v>
      </c>
      <c r="Q21" s="54">
        <f>'2. Tulud-kulud projektiga'!Q21-'3. Tulud-kulud projektita'!Q21</f>
        <v>34020</v>
      </c>
      <c r="R21" s="54">
        <f>'2. Tulud-kulud projektiga'!R21-'3. Tulud-kulud projektita'!R21</f>
        <v>34020</v>
      </c>
      <c r="S21" s="54">
        <f>'2. Tulud-kulud projektiga'!S21-'3. Tulud-kulud projektita'!S21</f>
        <v>34020</v>
      </c>
      <c r="T21" s="7"/>
    </row>
    <row r="22" spans="1:20" ht="4.5" customHeight="1" x14ac:dyDescent="0.35">
      <c r="A22" s="47"/>
      <c r="B22" s="26"/>
      <c r="C22" s="12"/>
      <c r="D22" s="12"/>
      <c r="E22" s="12"/>
      <c r="F22" s="12"/>
      <c r="G22" s="12"/>
      <c r="H22" s="12"/>
      <c r="I22" s="12"/>
      <c r="J22" s="12"/>
      <c r="K22" s="12"/>
      <c r="L22" s="12"/>
      <c r="M22" s="12"/>
      <c r="N22" s="12"/>
      <c r="O22" s="12"/>
      <c r="P22" s="12"/>
      <c r="Q22" s="12"/>
      <c r="R22" s="12"/>
      <c r="S22" s="12"/>
      <c r="T22" s="7"/>
    </row>
    <row r="23" spans="1:20" x14ac:dyDescent="0.35">
      <c r="A23" s="809" t="str">
        <f>'2. Tulud-kulud projektiga'!A23:A25</f>
        <v>Üüritulud. 4 korrus. Üüriruumid</v>
      </c>
      <c r="B23" s="50" t="str">
        <f>'2. Tulud-kulud projektiga'!B23</f>
        <v>Ühik 5</v>
      </c>
      <c r="C23" s="51" t="str">
        <f>'2. Tulud-kulud projektiga'!C23</f>
        <v>m2</v>
      </c>
      <c r="D23" s="11">
        <f>'2. Tulud-kulud projektiga'!D23-'3. Tulud-kulud projektita'!D23</f>
        <v>0</v>
      </c>
      <c r="E23" s="11">
        <f>'2. Tulud-kulud projektiga'!E23-'3. Tulud-kulud projektita'!E23</f>
        <v>0</v>
      </c>
      <c r="F23" s="11">
        <f>'2. Tulud-kulud projektiga'!F23-'3. Tulud-kulud projektita'!F23</f>
        <v>265.60000000000002</v>
      </c>
      <c r="G23" s="11">
        <f>'2. Tulud-kulud projektiga'!G23-'3. Tulud-kulud projektita'!G23</f>
        <v>265.60000000000002</v>
      </c>
      <c r="H23" s="11">
        <f>'2. Tulud-kulud projektiga'!H23-'3. Tulud-kulud projektita'!H23</f>
        <v>265.60000000000002</v>
      </c>
      <c r="I23" s="11">
        <f>'2. Tulud-kulud projektiga'!I23-'3. Tulud-kulud projektita'!I23</f>
        <v>265.60000000000002</v>
      </c>
      <c r="J23" s="11">
        <f>'2. Tulud-kulud projektiga'!J23-'3. Tulud-kulud projektita'!J23</f>
        <v>265.60000000000002</v>
      </c>
      <c r="K23" s="11">
        <f>'2. Tulud-kulud projektiga'!K23-'3. Tulud-kulud projektita'!K23</f>
        <v>265.60000000000002</v>
      </c>
      <c r="L23" s="11">
        <f>'2. Tulud-kulud projektiga'!L23-'3. Tulud-kulud projektita'!L23</f>
        <v>265.60000000000002</v>
      </c>
      <c r="M23" s="11">
        <f>'2. Tulud-kulud projektiga'!M23-'3. Tulud-kulud projektita'!M23</f>
        <v>265.60000000000002</v>
      </c>
      <c r="N23" s="11">
        <f>'2. Tulud-kulud projektiga'!N23-'3. Tulud-kulud projektita'!N23</f>
        <v>265.60000000000002</v>
      </c>
      <c r="O23" s="11">
        <f>'2. Tulud-kulud projektiga'!O23-'3. Tulud-kulud projektita'!O23</f>
        <v>265.60000000000002</v>
      </c>
      <c r="P23" s="11">
        <f>'2. Tulud-kulud projektiga'!P23-'3. Tulud-kulud projektita'!P23</f>
        <v>265.60000000000002</v>
      </c>
      <c r="Q23" s="11">
        <f>'2. Tulud-kulud projektiga'!Q23-'3. Tulud-kulud projektita'!Q23</f>
        <v>265.60000000000002</v>
      </c>
      <c r="R23" s="11">
        <f>'2. Tulud-kulud projektiga'!R23-'3. Tulud-kulud projektita'!R23</f>
        <v>265.60000000000002</v>
      </c>
      <c r="S23" s="11">
        <f>'2. Tulud-kulud projektiga'!S23-'3. Tulud-kulud projektita'!S23</f>
        <v>265.60000000000002</v>
      </c>
      <c r="T23" s="7"/>
    </row>
    <row r="24" spans="1:20" x14ac:dyDescent="0.35">
      <c r="A24" s="809"/>
      <c r="B24" s="50" t="s">
        <v>0</v>
      </c>
      <c r="C24" s="51" t="s">
        <v>3</v>
      </c>
      <c r="D24" s="11">
        <f>'2. Tulud-kulud projektiga'!D24-'3. Tulud-kulud projektita'!D24</f>
        <v>0</v>
      </c>
      <c r="E24" s="11">
        <f>'2. Tulud-kulud projektiga'!E24-'3. Tulud-kulud projektita'!E24</f>
        <v>0</v>
      </c>
      <c r="F24" s="11">
        <f>'2. Tulud-kulud projektiga'!F24-'3. Tulud-kulud projektita'!F24</f>
        <v>28</v>
      </c>
      <c r="G24" s="11">
        <f>'2. Tulud-kulud projektiga'!G24-'3. Tulud-kulud projektita'!G24</f>
        <v>84</v>
      </c>
      <c r="H24" s="11">
        <f>'2. Tulud-kulud projektiga'!H24-'3. Tulud-kulud projektita'!H24</f>
        <v>84</v>
      </c>
      <c r="I24" s="11">
        <f>'2. Tulud-kulud projektiga'!I24-'3. Tulud-kulud projektita'!I24</f>
        <v>84</v>
      </c>
      <c r="J24" s="11">
        <f>'2. Tulud-kulud projektiga'!J24-'3. Tulud-kulud projektita'!J24</f>
        <v>84</v>
      </c>
      <c r="K24" s="11">
        <f>'2. Tulud-kulud projektiga'!K24-'3. Tulud-kulud projektita'!K24</f>
        <v>84</v>
      </c>
      <c r="L24" s="11">
        <f>'2. Tulud-kulud projektiga'!L24-'3. Tulud-kulud projektita'!L24</f>
        <v>84</v>
      </c>
      <c r="M24" s="11">
        <f>'2. Tulud-kulud projektiga'!M24-'3. Tulud-kulud projektita'!M24</f>
        <v>84</v>
      </c>
      <c r="N24" s="11">
        <f>'2. Tulud-kulud projektiga'!N24-'3. Tulud-kulud projektita'!N24</f>
        <v>84</v>
      </c>
      <c r="O24" s="11">
        <f>'2. Tulud-kulud projektiga'!O24-'3. Tulud-kulud projektita'!O24</f>
        <v>84</v>
      </c>
      <c r="P24" s="11">
        <f>'2. Tulud-kulud projektiga'!P24-'3. Tulud-kulud projektita'!P24</f>
        <v>84</v>
      </c>
      <c r="Q24" s="11">
        <f>'2. Tulud-kulud projektiga'!Q24-'3. Tulud-kulud projektita'!Q24</f>
        <v>84</v>
      </c>
      <c r="R24" s="11">
        <f>'2. Tulud-kulud projektiga'!R24-'3. Tulud-kulud projektita'!R24</f>
        <v>84</v>
      </c>
      <c r="S24" s="11">
        <f>'2. Tulud-kulud projektiga'!S24-'3. Tulud-kulud projektita'!S24</f>
        <v>84</v>
      </c>
      <c r="T24" s="7"/>
    </row>
    <row r="25" spans="1:20" x14ac:dyDescent="0.35">
      <c r="A25" s="809"/>
      <c r="B25" s="52" t="s">
        <v>1</v>
      </c>
      <c r="C25" s="53" t="s">
        <v>3</v>
      </c>
      <c r="D25" s="54">
        <f>'2. Tulud-kulud projektiga'!D25-'3. Tulud-kulud projektita'!D25</f>
        <v>0</v>
      </c>
      <c r="E25" s="54">
        <f>'2. Tulud-kulud projektiga'!E25-'3. Tulud-kulud projektita'!E25</f>
        <v>0</v>
      </c>
      <c r="F25" s="54">
        <f>'2. Tulud-kulud projektiga'!F25-'3. Tulud-kulud projektita'!F25</f>
        <v>7436.8000000000011</v>
      </c>
      <c r="G25" s="54">
        <f>'2. Tulud-kulud projektiga'!G25-'3. Tulud-kulud projektita'!G25</f>
        <v>22310.400000000001</v>
      </c>
      <c r="H25" s="54">
        <f>'2. Tulud-kulud projektiga'!H25-'3. Tulud-kulud projektita'!H25</f>
        <v>22310.400000000001</v>
      </c>
      <c r="I25" s="54">
        <f>'2. Tulud-kulud projektiga'!I25-'3. Tulud-kulud projektita'!I25</f>
        <v>22310.400000000001</v>
      </c>
      <c r="J25" s="54">
        <f>'2. Tulud-kulud projektiga'!J25-'3. Tulud-kulud projektita'!J25</f>
        <v>22310.400000000001</v>
      </c>
      <c r="K25" s="54">
        <f>'2. Tulud-kulud projektiga'!K25-'3. Tulud-kulud projektita'!K25</f>
        <v>22310.400000000001</v>
      </c>
      <c r="L25" s="54">
        <f>'2. Tulud-kulud projektiga'!L25-'3. Tulud-kulud projektita'!L25</f>
        <v>22310.400000000001</v>
      </c>
      <c r="M25" s="54">
        <f>'2. Tulud-kulud projektiga'!M25-'3. Tulud-kulud projektita'!M25</f>
        <v>22310.400000000001</v>
      </c>
      <c r="N25" s="54">
        <f>'2. Tulud-kulud projektiga'!N25-'3. Tulud-kulud projektita'!N25</f>
        <v>22310.400000000001</v>
      </c>
      <c r="O25" s="54">
        <f>'2. Tulud-kulud projektiga'!O25-'3. Tulud-kulud projektita'!O25</f>
        <v>22310.400000000001</v>
      </c>
      <c r="P25" s="54">
        <f>'2. Tulud-kulud projektiga'!P25-'3. Tulud-kulud projektita'!P25</f>
        <v>22310.400000000001</v>
      </c>
      <c r="Q25" s="54">
        <f>'2. Tulud-kulud projektiga'!Q25-'3. Tulud-kulud projektita'!Q25</f>
        <v>22310.400000000001</v>
      </c>
      <c r="R25" s="54">
        <f>'2. Tulud-kulud projektiga'!R25-'3. Tulud-kulud projektita'!R25</f>
        <v>22310.400000000001</v>
      </c>
      <c r="S25" s="54">
        <f>'2. Tulud-kulud projektiga'!S25-'3. Tulud-kulud projektita'!S25</f>
        <v>22310.400000000001</v>
      </c>
      <c r="T25" s="7"/>
    </row>
    <row r="26" spans="1:20" ht="4.5" customHeight="1" x14ac:dyDescent="0.35">
      <c r="A26" s="47"/>
      <c r="B26" s="26"/>
      <c r="C26" s="12"/>
      <c r="D26" s="12"/>
      <c r="E26" s="12"/>
      <c r="F26" s="12"/>
      <c r="G26" s="12"/>
      <c r="H26" s="12"/>
      <c r="I26" s="12"/>
      <c r="J26" s="12"/>
      <c r="K26" s="12"/>
      <c r="L26" s="12"/>
      <c r="M26" s="12"/>
      <c r="N26" s="12"/>
      <c r="O26" s="12"/>
      <c r="P26" s="12"/>
      <c r="Q26" s="12"/>
      <c r="R26" s="12"/>
      <c r="S26" s="12"/>
      <c r="T26" s="7"/>
    </row>
    <row r="27" spans="1:20" x14ac:dyDescent="0.35">
      <c r="A27" s="809" t="str">
        <f>'2. Tulud-kulud projektiga'!A27:A29</f>
        <v>Üüritulud. 4 korrus. Üürikabinet</v>
      </c>
      <c r="B27" s="50" t="str">
        <f>'2. Tulud-kulud projektiga'!B27</f>
        <v>Ühik 6</v>
      </c>
      <c r="C27" s="51" t="str">
        <f>'2. Tulud-kulud projektiga'!C27</f>
        <v>m2</v>
      </c>
      <c r="D27" s="11">
        <f>'2. Tulud-kulud projektiga'!D27-'3. Tulud-kulud projektita'!D27</f>
        <v>0</v>
      </c>
      <c r="E27" s="11">
        <f>'2. Tulud-kulud projektiga'!E27-'3. Tulud-kulud projektita'!E27</f>
        <v>0</v>
      </c>
      <c r="F27" s="11">
        <f>'2. Tulud-kulud projektiga'!F27-'3. Tulud-kulud projektita'!F27</f>
        <v>15.8</v>
      </c>
      <c r="G27" s="11">
        <f>'2. Tulud-kulud projektiga'!G27-'3. Tulud-kulud projektita'!G27</f>
        <v>15.8</v>
      </c>
      <c r="H27" s="11">
        <f>'2. Tulud-kulud projektiga'!H27-'3. Tulud-kulud projektita'!H27</f>
        <v>15.8</v>
      </c>
      <c r="I27" s="11">
        <f>'2. Tulud-kulud projektiga'!I27-'3. Tulud-kulud projektita'!I27</f>
        <v>15.8</v>
      </c>
      <c r="J27" s="11">
        <f>'2. Tulud-kulud projektiga'!J27-'3. Tulud-kulud projektita'!J27</f>
        <v>15.8</v>
      </c>
      <c r="K27" s="11">
        <f>'2. Tulud-kulud projektiga'!K27-'3. Tulud-kulud projektita'!K27</f>
        <v>15.8</v>
      </c>
      <c r="L27" s="11">
        <f>'2. Tulud-kulud projektiga'!L27-'3. Tulud-kulud projektita'!L27</f>
        <v>15.8</v>
      </c>
      <c r="M27" s="11">
        <f>'2. Tulud-kulud projektiga'!M27-'3. Tulud-kulud projektita'!M27</f>
        <v>15.8</v>
      </c>
      <c r="N27" s="11">
        <f>'2. Tulud-kulud projektiga'!N27-'3. Tulud-kulud projektita'!N27</f>
        <v>15.8</v>
      </c>
      <c r="O27" s="11">
        <f>'2. Tulud-kulud projektiga'!O27-'3. Tulud-kulud projektita'!O27</f>
        <v>15.8</v>
      </c>
      <c r="P27" s="11">
        <f>'2. Tulud-kulud projektiga'!P27-'3. Tulud-kulud projektita'!P27</f>
        <v>15.8</v>
      </c>
      <c r="Q27" s="11">
        <f>'2. Tulud-kulud projektiga'!Q27-'3. Tulud-kulud projektita'!Q27</f>
        <v>15.8</v>
      </c>
      <c r="R27" s="11">
        <f>'2. Tulud-kulud projektiga'!R27-'3. Tulud-kulud projektita'!R27</f>
        <v>15.8</v>
      </c>
      <c r="S27" s="11">
        <f>'2. Tulud-kulud projektiga'!S27-'3. Tulud-kulud projektita'!S27</f>
        <v>15.8</v>
      </c>
      <c r="T27" s="7"/>
    </row>
    <row r="28" spans="1:20" x14ac:dyDescent="0.35">
      <c r="A28" s="809"/>
      <c r="B28" s="50" t="s">
        <v>0</v>
      </c>
      <c r="C28" s="51" t="s">
        <v>3</v>
      </c>
      <c r="D28" s="11">
        <f>'2. Tulud-kulud projektiga'!D28-'3. Tulud-kulud projektita'!D28</f>
        <v>0</v>
      </c>
      <c r="E28" s="11">
        <f>'2. Tulud-kulud projektiga'!E28-'3. Tulud-kulud projektita'!E28</f>
        <v>0</v>
      </c>
      <c r="F28" s="11">
        <f>'2. Tulud-kulud projektiga'!F28-'3. Tulud-kulud projektita'!F28</f>
        <v>28</v>
      </c>
      <c r="G28" s="11">
        <f>'2. Tulud-kulud projektiga'!G28-'3. Tulud-kulud projektita'!G28</f>
        <v>84</v>
      </c>
      <c r="H28" s="11">
        <f>'2. Tulud-kulud projektiga'!H28-'3. Tulud-kulud projektita'!H28</f>
        <v>84</v>
      </c>
      <c r="I28" s="11">
        <f>'2. Tulud-kulud projektiga'!I28-'3. Tulud-kulud projektita'!I28</f>
        <v>84</v>
      </c>
      <c r="J28" s="11">
        <f>'2. Tulud-kulud projektiga'!J28-'3. Tulud-kulud projektita'!J28</f>
        <v>84</v>
      </c>
      <c r="K28" s="11">
        <f>'2. Tulud-kulud projektiga'!K28-'3. Tulud-kulud projektita'!K28</f>
        <v>84</v>
      </c>
      <c r="L28" s="11">
        <f>'2. Tulud-kulud projektiga'!L28-'3. Tulud-kulud projektita'!L28</f>
        <v>84</v>
      </c>
      <c r="M28" s="11">
        <f>'2. Tulud-kulud projektiga'!M28-'3. Tulud-kulud projektita'!M28</f>
        <v>84</v>
      </c>
      <c r="N28" s="11">
        <f>'2. Tulud-kulud projektiga'!N28-'3. Tulud-kulud projektita'!N28</f>
        <v>84</v>
      </c>
      <c r="O28" s="11">
        <f>'2. Tulud-kulud projektiga'!O28-'3. Tulud-kulud projektita'!O28</f>
        <v>84</v>
      </c>
      <c r="P28" s="11">
        <f>'2. Tulud-kulud projektiga'!P28-'3. Tulud-kulud projektita'!P28</f>
        <v>84</v>
      </c>
      <c r="Q28" s="11">
        <f>'2. Tulud-kulud projektiga'!Q28-'3. Tulud-kulud projektita'!Q28</f>
        <v>84</v>
      </c>
      <c r="R28" s="11">
        <f>'2. Tulud-kulud projektiga'!R28-'3. Tulud-kulud projektita'!R28</f>
        <v>84</v>
      </c>
      <c r="S28" s="11">
        <f>'2. Tulud-kulud projektiga'!S28-'3. Tulud-kulud projektita'!S28</f>
        <v>84</v>
      </c>
      <c r="T28" s="7"/>
    </row>
    <row r="29" spans="1:20" x14ac:dyDescent="0.35">
      <c r="A29" s="809"/>
      <c r="B29" s="52" t="s">
        <v>1</v>
      </c>
      <c r="C29" s="53" t="s">
        <v>3</v>
      </c>
      <c r="D29" s="54">
        <f>'2. Tulud-kulud projektiga'!D29-'3. Tulud-kulud projektita'!D29</f>
        <v>0</v>
      </c>
      <c r="E29" s="54">
        <f>'2. Tulud-kulud projektiga'!E29-'3. Tulud-kulud projektita'!E29</f>
        <v>0</v>
      </c>
      <c r="F29" s="54">
        <f>'2. Tulud-kulud projektiga'!F29-'3. Tulud-kulud projektita'!F29</f>
        <v>442.40000000000003</v>
      </c>
      <c r="G29" s="54">
        <f>'2. Tulud-kulud projektiga'!G29-'3. Tulud-kulud projektita'!G29</f>
        <v>1327.2</v>
      </c>
      <c r="H29" s="54">
        <f>'2. Tulud-kulud projektiga'!H29-'3. Tulud-kulud projektita'!H29</f>
        <v>1327.2</v>
      </c>
      <c r="I29" s="54">
        <f>'2. Tulud-kulud projektiga'!I29-'3. Tulud-kulud projektita'!I29</f>
        <v>1327.2</v>
      </c>
      <c r="J29" s="54">
        <f>'2. Tulud-kulud projektiga'!J29-'3. Tulud-kulud projektita'!J29</f>
        <v>1327.2</v>
      </c>
      <c r="K29" s="54">
        <f>'2. Tulud-kulud projektiga'!K29-'3. Tulud-kulud projektita'!K29</f>
        <v>1327.2</v>
      </c>
      <c r="L29" s="54">
        <f>'2. Tulud-kulud projektiga'!L29-'3. Tulud-kulud projektita'!L29</f>
        <v>1327.2</v>
      </c>
      <c r="M29" s="54">
        <f>'2. Tulud-kulud projektiga'!M29-'3. Tulud-kulud projektita'!M29</f>
        <v>1327.2</v>
      </c>
      <c r="N29" s="54">
        <f>'2. Tulud-kulud projektiga'!N29-'3. Tulud-kulud projektita'!N29</f>
        <v>1327.2</v>
      </c>
      <c r="O29" s="54">
        <f>'2. Tulud-kulud projektiga'!O29-'3. Tulud-kulud projektita'!O29</f>
        <v>1327.2</v>
      </c>
      <c r="P29" s="54">
        <f>'2. Tulud-kulud projektiga'!P29-'3. Tulud-kulud projektita'!P29</f>
        <v>1327.2</v>
      </c>
      <c r="Q29" s="54">
        <f>'2. Tulud-kulud projektiga'!Q29-'3. Tulud-kulud projektita'!Q29</f>
        <v>1327.2</v>
      </c>
      <c r="R29" s="54">
        <f>'2. Tulud-kulud projektiga'!R29-'3. Tulud-kulud projektita'!R29</f>
        <v>1327.2</v>
      </c>
      <c r="S29" s="54">
        <f>'2. Tulud-kulud projektiga'!S29-'3. Tulud-kulud projektita'!S29</f>
        <v>1327.2</v>
      </c>
      <c r="T29" s="7"/>
    </row>
    <row r="30" spans="1:20" ht="4.5" customHeight="1" x14ac:dyDescent="0.35">
      <c r="A30" s="47"/>
      <c r="B30" s="26"/>
      <c r="C30" s="12"/>
      <c r="D30" s="12"/>
      <c r="E30" s="12"/>
      <c r="F30" s="12"/>
      <c r="G30" s="12"/>
      <c r="H30" s="12"/>
      <c r="I30" s="12"/>
      <c r="J30" s="12"/>
      <c r="K30" s="12"/>
      <c r="L30" s="12"/>
      <c r="M30" s="12"/>
      <c r="N30" s="12"/>
      <c r="O30" s="12"/>
      <c r="P30" s="12"/>
      <c r="Q30" s="12"/>
      <c r="R30" s="12"/>
      <c r="S30" s="12"/>
      <c r="T30" s="7"/>
    </row>
    <row r="31" spans="1:20" x14ac:dyDescent="0.35">
      <c r="A31" s="809" t="str">
        <f>'2. Tulud-kulud projektiga'!A31:A33</f>
        <v>Üüritulud. 5 korrus. Üürituba</v>
      </c>
      <c r="B31" s="50" t="str">
        <f>'2. Tulud-kulud projektiga'!B31</f>
        <v>Ühik 7</v>
      </c>
      <c r="C31" s="51" t="str">
        <f>'2. Tulud-kulud projektiga'!C31</f>
        <v>m2</v>
      </c>
      <c r="D31" s="11">
        <f>'2. Tulud-kulud projektiga'!D31-'3. Tulud-kulud projektita'!D31</f>
        <v>0</v>
      </c>
      <c r="E31" s="11">
        <f>'2. Tulud-kulud projektiga'!E31-'3. Tulud-kulud projektita'!E31</f>
        <v>0</v>
      </c>
      <c r="F31" s="11">
        <f>'2. Tulud-kulud projektiga'!F31-'3. Tulud-kulud projektita'!F31</f>
        <v>27.975000000000001</v>
      </c>
      <c r="G31" s="11">
        <f>'2. Tulud-kulud projektiga'!G31-'3. Tulud-kulud projektita'!G31</f>
        <v>27.975000000000001</v>
      </c>
      <c r="H31" s="11">
        <f>'2. Tulud-kulud projektiga'!H31-'3. Tulud-kulud projektita'!H31</f>
        <v>27.975000000000001</v>
      </c>
      <c r="I31" s="11">
        <f>'2. Tulud-kulud projektiga'!I31-'3. Tulud-kulud projektita'!I31</f>
        <v>55.95</v>
      </c>
      <c r="J31" s="11">
        <f>'2. Tulud-kulud projektiga'!J31-'3. Tulud-kulud projektita'!J31</f>
        <v>55.95</v>
      </c>
      <c r="K31" s="11">
        <f>'2. Tulud-kulud projektiga'!K31-'3. Tulud-kulud projektita'!K31</f>
        <v>55.95</v>
      </c>
      <c r="L31" s="11">
        <f>'2. Tulud-kulud projektiga'!L31-'3. Tulud-kulud projektita'!L31</f>
        <v>55.95</v>
      </c>
      <c r="M31" s="11">
        <f>'2. Tulud-kulud projektiga'!M31-'3. Tulud-kulud projektita'!M31</f>
        <v>83.925000000000011</v>
      </c>
      <c r="N31" s="11">
        <f>'2. Tulud-kulud projektiga'!N31-'3. Tulud-kulud projektita'!N31</f>
        <v>83.925000000000011</v>
      </c>
      <c r="O31" s="11">
        <f>'2. Tulud-kulud projektiga'!O31-'3. Tulud-kulud projektita'!O31</f>
        <v>83.925000000000011</v>
      </c>
      <c r="P31" s="11">
        <f>'2. Tulud-kulud projektiga'!P31-'3. Tulud-kulud projektita'!P31</f>
        <v>83.925000000000011</v>
      </c>
      <c r="Q31" s="11">
        <f>'2. Tulud-kulud projektiga'!Q31-'3. Tulud-kulud projektita'!Q31</f>
        <v>83.925000000000011</v>
      </c>
      <c r="R31" s="11">
        <f>'2. Tulud-kulud projektiga'!R31-'3. Tulud-kulud projektita'!R31</f>
        <v>83.925000000000011</v>
      </c>
      <c r="S31" s="11">
        <f>'2. Tulud-kulud projektiga'!S31-'3. Tulud-kulud projektita'!S31</f>
        <v>83.925000000000011</v>
      </c>
      <c r="T31" s="7"/>
    </row>
    <row r="32" spans="1:20" x14ac:dyDescent="0.35">
      <c r="A32" s="809"/>
      <c r="B32" s="50" t="s">
        <v>0</v>
      </c>
      <c r="C32" s="51" t="s">
        <v>3</v>
      </c>
      <c r="D32" s="11">
        <f>'2. Tulud-kulud projektiga'!D32-'3. Tulud-kulud projektita'!D32</f>
        <v>0</v>
      </c>
      <c r="E32" s="11">
        <f>'2. Tulud-kulud projektiga'!E32-'3. Tulud-kulud projektita'!E32</f>
        <v>0</v>
      </c>
      <c r="F32" s="11">
        <f>'2. Tulud-kulud projektiga'!F32-'3. Tulud-kulud projektita'!F32</f>
        <v>220</v>
      </c>
      <c r="G32" s="11">
        <f>'2. Tulud-kulud projektiga'!G32-'3. Tulud-kulud projektita'!G32</f>
        <v>660</v>
      </c>
      <c r="H32" s="11">
        <f>'2. Tulud-kulud projektiga'!H32-'3. Tulud-kulud projektita'!H32</f>
        <v>660</v>
      </c>
      <c r="I32" s="11">
        <f>'2. Tulud-kulud projektiga'!I32-'3. Tulud-kulud projektita'!I32</f>
        <v>660</v>
      </c>
      <c r="J32" s="11">
        <f>'2. Tulud-kulud projektiga'!J32-'3. Tulud-kulud projektita'!J32</f>
        <v>660</v>
      </c>
      <c r="K32" s="11">
        <f>'2. Tulud-kulud projektiga'!K32-'3. Tulud-kulud projektita'!K32</f>
        <v>660</v>
      </c>
      <c r="L32" s="11">
        <f>'2. Tulud-kulud projektiga'!L32-'3. Tulud-kulud projektita'!L32</f>
        <v>660</v>
      </c>
      <c r="M32" s="11">
        <f>'2. Tulud-kulud projektiga'!M32-'3. Tulud-kulud projektita'!M32</f>
        <v>660</v>
      </c>
      <c r="N32" s="11">
        <f>'2. Tulud-kulud projektiga'!N32-'3. Tulud-kulud projektita'!N32</f>
        <v>660</v>
      </c>
      <c r="O32" s="11">
        <f>'2. Tulud-kulud projektiga'!O32-'3. Tulud-kulud projektita'!O32</f>
        <v>660</v>
      </c>
      <c r="P32" s="11">
        <f>'2. Tulud-kulud projektiga'!P32-'3. Tulud-kulud projektita'!P32</f>
        <v>660</v>
      </c>
      <c r="Q32" s="11">
        <f>'2. Tulud-kulud projektiga'!Q32-'3. Tulud-kulud projektita'!Q32</f>
        <v>660</v>
      </c>
      <c r="R32" s="11">
        <f>'2. Tulud-kulud projektiga'!R32-'3. Tulud-kulud projektita'!R32</f>
        <v>660</v>
      </c>
      <c r="S32" s="11">
        <f>'2. Tulud-kulud projektiga'!S32-'3. Tulud-kulud projektita'!S32</f>
        <v>660</v>
      </c>
      <c r="T32" s="7"/>
    </row>
    <row r="33" spans="1:20" x14ac:dyDescent="0.35">
      <c r="A33" s="809"/>
      <c r="B33" s="52" t="s">
        <v>1</v>
      </c>
      <c r="C33" s="53" t="s">
        <v>3</v>
      </c>
      <c r="D33" s="54">
        <f>'2. Tulud-kulud projektiga'!D33-'3. Tulud-kulud projektita'!D33</f>
        <v>0</v>
      </c>
      <c r="E33" s="54">
        <f>'2. Tulud-kulud projektiga'!E33-'3. Tulud-kulud projektita'!E33</f>
        <v>0</v>
      </c>
      <c r="F33" s="54">
        <f>'2. Tulud-kulud projektiga'!F33-'3. Tulud-kulud projektita'!F33</f>
        <v>6154.5</v>
      </c>
      <c r="G33" s="54">
        <f>'2. Tulud-kulud projektiga'!G33-'3. Tulud-kulud projektita'!G33</f>
        <v>18463.5</v>
      </c>
      <c r="H33" s="54">
        <f>'2. Tulud-kulud projektiga'!H33-'3. Tulud-kulud projektita'!H33</f>
        <v>18463.5</v>
      </c>
      <c r="I33" s="54">
        <f>'2. Tulud-kulud projektiga'!I33-'3. Tulud-kulud projektita'!I33</f>
        <v>36927</v>
      </c>
      <c r="J33" s="54">
        <f>'2. Tulud-kulud projektiga'!J33-'3. Tulud-kulud projektita'!J33</f>
        <v>36927</v>
      </c>
      <c r="K33" s="54">
        <f>'2. Tulud-kulud projektiga'!K33-'3. Tulud-kulud projektita'!K33</f>
        <v>36927</v>
      </c>
      <c r="L33" s="54">
        <f>'2. Tulud-kulud projektiga'!L33-'3. Tulud-kulud projektita'!L33</f>
        <v>36927</v>
      </c>
      <c r="M33" s="54">
        <f>'2. Tulud-kulud projektiga'!M33-'3. Tulud-kulud projektita'!M33</f>
        <v>55390.500000000007</v>
      </c>
      <c r="N33" s="54">
        <f>'2. Tulud-kulud projektiga'!N33-'3. Tulud-kulud projektita'!N33</f>
        <v>55390.500000000007</v>
      </c>
      <c r="O33" s="54">
        <f>'2. Tulud-kulud projektiga'!O33-'3. Tulud-kulud projektita'!O33</f>
        <v>55390.500000000007</v>
      </c>
      <c r="P33" s="54">
        <f>'2. Tulud-kulud projektiga'!P33-'3. Tulud-kulud projektita'!P33</f>
        <v>55390.500000000007</v>
      </c>
      <c r="Q33" s="54">
        <f>'2. Tulud-kulud projektiga'!Q33-'3. Tulud-kulud projektita'!Q33</f>
        <v>55390.500000000007</v>
      </c>
      <c r="R33" s="54">
        <f>'2. Tulud-kulud projektiga'!R33-'3. Tulud-kulud projektita'!R33</f>
        <v>55390.500000000007</v>
      </c>
      <c r="S33" s="54">
        <f>'2. Tulud-kulud projektiga'!S33-'3. Tulud-kulud projektita'!S33</f>
        <v>55390.500000000007</v>
      </c>
      <c r="T33" s="7"/>
    </row>
    <row r="34" spans="1:20" ht="4.5" customHeight="1" x14ac:dyDescent="0.35">
      <c r="A34" s="47"/>
      <c r="B34" s="26"/>
      <c r="C34" s="12"/>
      <c r="D34" s="12"/>
      <c r="E34" s="12"/>
      <c r="F34" s="12"/>
      <c r="G34" s="12"/>
      <c r="H34" s="12"/>
      <c r="I34" s="12"/>
      <c r="J34" s="12"/>
      <c r="K34" s="12"/>
      <c r="L34" s="12"/>
      <c r="M34" s="12"/>
      <c r="N34" s="12"/>
      <c r="O34" s="12"/>
      <c r="P34" s="12"/>
      <c r="Q34" s="12"/>
      <c r="R34" s="12"/>
      <c r="S34" s="12"/>
      <c r="T34" s="7"/>
    </row>
    <row r="35" spans="1:20" x14ac:dyDescent="0.35">
      <c r="A35" s="809" t="str">
        <f>'2. Tulud-kulud projektiga'!A35:A37</f>
        <v>Üüritulud. 5 korrus. Üüriruumid</v>
      </c>
      <c r="B35" s="50" t="str">
        <f>'2. Tulud-kulud projektiga'!B35</f>
        <v>Ühik 8</v>
      </c>
      <c r="C35" s="51" t="str">
        <f>'2. Tulud-kulud projektiga'!C35</f>
        <v>m2</v>
      </c>
      <c r="D35" s="11">
        <f>'2. Tulud-kulud projektiga'!D35-'3. Tulud-kulud projektita'!D35</f>
        <v>0</v>
      </c>
      <c r="E35" s="11">
        <f>'2. Tulud-kulud projektiga'!E35-'3. Tulud-kulud projektita'!E35</f>
        <v>0</v>
      </c>
      <c r="F35" s="11">
        <f>'2. Tulud-kulud projektiga'!F35-'3. Tulud-kulud projektita'!F35</f>
        <v>6.6</v>
      </c>
      <c r="G35" s="11">
        <f>'2. Tulud-kulud projektiga'!G35-'3. Tulud-kulud projektita'!G35</f>
        <v>6.6</v>
      </c>
      <c r="H35" s="11">
        <f>'2. Tulud-kulud projektiga'!H35-'3. Tulud-kulud projektita'!H35</f>
        <v>6.6</v>
      </c>
      <c r="I35" s="11">
        <f>'2. Tulud-kulud projektiga'!I35-'3. Tulud-kulud projektita'!I35</f>
        <v>13.2</v>
      </c>
      <c r="J35" s="11">
        <f>'2. Tulud-kulud projektiga'!J35-'3. Tulud-kulud projektita'!J35</f>
        <v>13.2</v>
      </c>
      <c r="K35" s="11">
        <f>'2. Tulud-kulud projektiga'!K35-'3. Tulud-kulud projektita'!K35</f>
        <v>13.2</v>
      </c>
      <c r="L35" s="11">
        <f>'2. Tulud-kulud projektiga'!L35-'3. Tulud-kulud projektita'!L35</f>
        <v>13.2</v>
      </c>
      <c r="M35" s="11">
        <f>'2. Tulud-kulud projektiga'!M35-'3. Tulud-kulud projektita'!M35</f>
        <v>19.799999999999997</v>
      </c>
      <c r="N35" s="11">
        <f>'2. Tulud-kulud projektiga'!N35-'3. Tulud-kulud projektita'!N35</f>
        <v>19.799999999999997</v>
      </c>
      <c r="O35" s="11">
        <f>'2. Tulud-kulud projektiga'!O35-'3. Tulud-kulud projektita'!O35</f>
        <v>19.799999999999997</v>
      </c>
      <c r="P35" s="11">
        <f>'2. Tulud-kulud projektiga'!P35-'3. Tulud-kulud projektita'!P35</f>
        <v>19.799999999999997</v>
      </c>
      <c r="Q35" s="11">
        <f>'2. Tulud-kulud projektiga'!Q35-'3. Tulud-kulud projektita'!Q35</f>
        <v>19.799999999999997</v>
      </c>
      <c r="R35" s="11">
        <f>'2. Tulud-kulud projektiga'!R35-'3. Tulud-kulud projektita'!R35</f>
        <v>19.799999999999997</v>
      </c>
      <c r="S35" s="11">
        <f>'2. Tulud-kulud projektiga'!S35-'3. Tulud-kulud projektita'!S35</f>
        <v>19.799999999999997</v>
      </c>
      <c r="T35" s="7"/>
    </row>
    <row r="36" spans="1:20" x14ac:dyDescent="0.35">
      <c r="A36" s="809"/>
      <c r="B36" s="50" t="s">
        <v>0</v>
      </c>
      <c r="C36" s="51" t="s">
        <v>3</v>
      </c>
      <c r="D36" s="11">
        <f>'2. Tulud-kulud projektiga'!D36-'3. Tulud-kulud projektita'!D36</f>
        <v>0</v>
      </c>
      <c r="E36" s="11">
        <f>'2. Tulud-kulud projektiga'!E36-'3. Tulud-kulud projektita'!E36</f>
        <v>0</v>
      </c>
      <c r="F36" s="11">
        <f>'2. Tulud-kulud projektiga'!F36-'3. Tulud-kulud projektita'!F36</f>
        <v>60</v>
      </c>
      <c r="G36" s="11">
        <f>'2. Tulud-kulud projektiga'!G36-'3. Tulud-kulud projektita'!G36</f>
        <v>180</v>
      </c>
      <c r="H36" s="11">
        <f>'2. Tulud-kulud projektiga'!H36-'3. Tulud-kulud projektita'!H36</f>
        <v>180</v>
      </c>
      <c r="I36" s="11">
        <f>'2. Tulud-kulud projektiga'!I36-'3. Tulud-kulud projektita'!I36</f>
        <v>180</v>
      </c>
      <c r="J36" s="11">
        <f>'2. Tulud-kulud projektiga'!J36-'3. Tulud-kulud projektita'!J36</f>
        <v>180</v>
      </c>
      <c r="K36" s="11">
        <f>'2. Tulud-kulud projektiga'!K36-'3. Tulud-kulud projektita'!K36</f>
        <v>180</v>
      </c>
      <c r="L36" s="11">
        <f>'2. Tulud-kulud projektiga'!L36-'3. Tulud-kulud projektita'!L36</f>
        <v>180</v>
      </c>
      <c r="M36" s="11">
        <f>'2. Tulud-kulud projektiga'!M36-'3. Tulud-kulud projektita'!M36</f>
        <v>180</v>
      </c>
      <c r="N36" s="11">
        <f>'2. Tulud-kulud projektiga'!N36-'3. Tulud-kulud projektita'!N36</f>
        <v>180</v>
      </c>
      <c r="O36" s="11">
        <f>'2. Tulud-kulud projektiga'!O36-'3. Tulud-kulud projektita'!O36</f>
        <v>180</v>
      </c>
      <c r="P36" s="11">
        <f>'2. Tulud-kulud projektiga'!P36-'3. Tulud-kulud projektita'!P36</f>
        <v>180</v>
      </c>
      <c r="Q36" s="11">
        <f>'2. Tulud-kulud projektiga'!Q36-'3. Tulud-kulud projektita'!Q36</f>
        <v>180</v>
      </c>
      <c r="R36" s="11">
        <f>'2. Tulud-kulud projektiga'!R36-'3. Tulud-kulud projektita'!R36</f>
        <v>180</v>
      </c>
      <c r="S36" s="11">
        <f>'2. Tulud-kulud projektiga'!S36-'3. Tulud-kulud projektita'!S36</f>
        <v>180</v>
      </c>
      <c r="T36" s="7"/>
    </row>
    <row r="37" spans="1:20" x14ac:dyDescent="0.35">
      <c r="A37" s="809"/>
      <c r="B37" s="52" t="s">
        <v>1</v>
      </c>
      <c r="C37" s="53" t="s">
        <v>3</v>
      </c>
      <c r="D37" s="54">
        <f>'2. Tulud-kulud projektiga'!D37-'3. Tulud-kulud projektita'!D37</f>
        <v>0</v>
      </c>
      <c r="E37" s="54">
        <f>'2. Tulud-kulud projektiga'!E37-'3. Tulud-kulud projektita'!E37</f>
        <v>0</v>
      </c>
      <c r="F37" s="54">
        <f>'2. Tulud-kulud projektiga'!F37-'3. Tulud-kulud projektita'!F37</f>
        <v>396</v>
      </c>
      <c r="G37" s="54">
        <f>'2. Tulud-kulud projektiga'!G37-'3. Tulud-kulud projektita'!G37</f>
        <v>1188</v>
      </c>
      <c r="H37" s="54">
        <f>'2. Tulud-kulud projektiga'!H37-'3. Tulud-kulud projektita'!H37</f>
        <v>1188</v>
      </c>
      <c r="I37" s="54">
        <f>'2. Tulud-kulud projektiga'!I37-'3. Tulud-kulud projektita'!I37</f>
        <v>2376</v>
      </c>
      <c r="J37" s="54">
        <f>'2. Tulud-kulud projektiga'!J37-'3. Tulud-kulud projektita'!J37</f>
        <v>2376</v>
      </c>
      <c r="K37" s="54">
        <f>'2. Tulud-kulud projektiga'!K37-'3. Tulud-kulud projektita'!K37</f>
        <v>2376</v>
      </c>
      <c r="L37" s="54">
        <f>'2. Tulud-kulud projektiga'!L37-'3. Tulud-kulud projektita'!L37</f>
        <v>2376</v>
      </c>
      <c r="M37" s="54">
        <f>'2. Tulud-kulud projektiga'!M37-'3. Tulud-kulud projektita'!M37</f>
        <v>3563.9999999999995</v>
      </c>
      <c r="N37" s="54">
        <f>'2. Tulud-kulud projektiga'!N37-'3. Tulud-kulud projektita'!N37</f>
        <v>3563.9999999999995</v>
      </c>
      <c r="O37" s="54">
        <f>'2. Tulud-kulud projektiga'!O37-'3. Tulud-kulud projektita'!O37</f>
        <v>3563.9999999999995</v>
      </c>
      <c r="P37" s="54">
        <f>'2. Tulud-kulud projektiga'!P37-'3. Tulud-kulud projektita'!P37</f>
        <v>3563.9999999999995</v>
      </c>
      <c r="Q37" s="54">
        <f>'2. Tulud-kulud projektiga'!Q37-'3. Tulud-kulud projektita'!Q37</f>
        <v>3563.9999999999995</v>
      </c>
      <c r="R37" s="54">
        <f>'2. Tulud-kulud projektiga'!R37-'3. Tulud-kulud projektita'!R37</f>
        <v>3563.9999999999995</v>
      </c>
      <c r="S37" s="54">
        <f>'2. Tulud-kulud projektiga'!S37-'3. Tulud-kulud projektita'!S37</f>
        <v>3563.9999999999995</v>
      </c>
      <c r="T37" s="7"/>
    </row>
    <row r="38" spans="1:20" ht="4.5" customHeight="1" x14ac:dyDescent="0.35">
      <c r="A38" s="47"/>
      <c r="B38" s="26"/>
      <c r="C38" s="12"/>
      <c r="D38" s="12"/>
      <c r="E38" s="12"/>
      <c r="F38" s="12"/>
      <c r="G38" s="12"/>
      <c r="H38" s="12"/>
      <c r="I38" s="12"/>
      <c r="J38" s="12"/>
      <c r="K38" s="12"/>
      <c r="L38" s="12"/>
      <c r="M38" s="12"/>
      <c r="N38" s="12"/>
      <c r="O38" s="12"/>
      <c r="P38" s="12"/>
      <c r="Q38" s="12"/>
      <c r="R38" s="12"/>
      <c r="S38" s="12"/>
      <c r="T38" s="7"/>
    </row>
    <row r="39" spans="1:20" hidden="1" x14ac:dyDescent="0.35">
      <c r="A39" s="809">
        <f>'2. Tulud-kulud projektiga'!A39:A41</f>
        <v>0</v>
      </c>
      <c r="B39" s="50" t="str">
        <f>'2. Tulud-kulud projektiga'!B39</f>
        <v>Ühik 9</v>
      </c>
      <c r="C39" s="51" t="str">
        <f>'2. Tulud-kulud projektiga'!C39</f>
        <v>Kuud</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11">
        <f>'2. Tulud-kulud projektiga'!S39-'3. Tulud-kulud projektita'!S39</f>
        <v>0</v>
      </c>
      <c r="T39" s="7"/>
    </row>
    <row r="40" spans="1:20" hidden="1" x14ac:dyDescent="0.35">
      <c r="A40" s="809"/>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11">
        <f>'2. Tulud-kulud projektiga'!S40-'3. Tulud-kulud projektita'!S40</f>
        <v>0</v>
      </c>
      <c r="T40" s="7"/>
    </row>
    <row r="41" spans="1:20" hidden="1" x14ac:dyDescent="0.35">
      <c r="A41" s="809"/>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54">
        <f>'2. Tulud-kulud projektiga'!S41-'3. Tulud-kulud projektita'!S41</f>
        <v>0</v>
      </c>
      <c r="T41" s="7"/>
    </row>
    <row r="42" spans="1:20" ht="4.5" customHeight="1" x14ac:dyDescent="0.35">
      <c r="A42" s="47"/>
      <c r="B42" s="26"/>
      <c r="C42" s="12"/>
      <c r="D42" s="12"/>
      <c r="E42" s="12"/>
      <c r="F42" s="12"/>
      <c r="G42" s="12"/>
      <c r="H42" s="12"/>
      <c r="I42" s="12"/>
      <c r="J42" s="12"/>
      <c r="K42" s="12"/>
      <c r="L42" s="12"/>
      <c r="M42" s="12"/>
      <c r="N42" s="12"/>
      <c r="O42" s="12"/>
      <c r="P42" s="12"/>
      <c r="Q42" s="12"/>
      <c r="R42" s="12"/>
      <c r="S42" s="12"/>
      <c r="T42" s="7"/>
    </row>
    <row r="43" spans="1:20" x14ac:dyDescent="0.35">
      <c r="A43" s="809" t="str">
        <f>'2. Tulud-kulud projektiga'!A43:A45</f>
        <v>Arved üürnikele kommunaalkulude eest</v>
      </c>
      <c r="B43" s="50" t="str">
        <f>'2. Tulud-kulud projektiga'!B43</f>
        <v>Ühik 10</v>
      </c>
      <c r="C43" s="51" t="str">
        <f>'2. Tulud-kulud projektiga'!C43</f>
        <v>Kuud</v>
      </c>
      <c r="D43" s="11">
        <f>'2. Tulud-kulud projektiga'!D43-'3. Tulud-kulud projektita'!D43</f>
        <v>0</v>
      </c>
      <c r="E43" s="11">
        <f>'2. Tulud-kulud projektiga'!E43-'3. Tulud-kulud projektita'!E43</f>
        <v>0</v>
      </c>
      <c r="F43" s="11">
        <f>'2. Tulud-kulud projektiga'!F43-'3. Tulud-kulud projektita'!F43</f>
        <v>12</v>
      </c>
      <c r="G43" s="11">
        <f>'2. Tulud-kulud projektiga'!G43-'3. Tulud-kulud projektita'!G43</f>
        <v>12</v>
      </c>
      <c r="H43" s="11">
        <f>'2. Tulud-kulud projektiga'!H43-'3. Tulud-kulud projektita'!H43</f>
        <v>12</v>
      </c>
      <c r="I43" s="11">
        <f>'2. Tulud-kulud projektiga'!I43-'3. Tulud-kulud projektita'!I43</f>
        <v>12</v>
      </c>
      <c r="J43" s="11">
        <f>'2. Tulud-kulud projektiga'!J43-'3. Tulud-kulud projektita'!J43</f>
        <v>12</v>
      </c>
      <c r="K43" s="11">
        <f>'2. Tulud-kulud projektiga'!K43-'3. Tulud-kulud projektita'!K43</f>
        <v>12</v>
      </c>
      <c r="L43" s="11">
        <f>'2. Tulud-kulud projektiga'!L43-'3. Tulud-kulud projektita'!L43</f>
        <v>12</v>
      </c>
      <c r="M43" s="11">
        <f>'2. Tulud-kulud projektiga'!M43-'3. Tulud-kulud projektita'!M43</f>
        <v>12</v>
      </c>
      <c r="N43" s="11">
        <f>'2. Tulud-kulud projektiga'!N43-'3. Tulud-kulud projektita'!N43</f>
        <v>12</v>
      </c>
      <c r="O43" s="11">
        <f>'2. Tulud-kulud projektiga'!O43-'3. Tulud-kulud projektita'!O43</f>
        <v>12</v>
      </c>
      <c r="P43" s="11">
        <f>'2. Tulud-kulud projektiga'!P43-'3. Tulud-kulud projektita'!P43</f>
        <v>12</v>
      </c>
      <c r="Q43" s="11">
        <f>'2. Tulud-kulud projektiga'!Q43-'3. Tulud-kulud projektita'!Q43</f>
        <v>12</v>
      </c>
      <c r="R43" s="11">
        <f>'2. Tulud-kulud projektiga'!R43-'3. Tulud-kulud projektita'!R43</f>
        <v>12</v>
      </c>
      <c r="S43" s="11">
        <f>'2. Tulud-kulud projektiga'!S43-'3. Tulud-kulud projektita'!S43</f>
        <v>12</v>
      </c>
      <c r="T43" s="7"/>
    </row>
    <row r="44" spans="1:20" x14ac:dyDescent="0.35">
      <c r="A44" s="809"/>
      <c r="B44" s="50" t="s">
        <v>0</v>
      </c>
      <c r="C44" s="51" t="s">
        <v>3</v>
      </c>
      <c r="D44" s="11">
        <f>'2. Tulud-kulud projektiga'!D44-'3. Tulud-kulud projektita'!D44</f>
        <v>0</v>
      </c>
      <c r="E44" s="11">
        <f>'2. Tulud-kulud projektiga'!E44-'3. Tulud-kulud projektita'!E44</f>
        <v>0</v>
      </c>
      <c r="F44" s="11">
        <f>'2. Tulud-kulud projektiga'!F44-'3. Tulud-kulud projektita'!F44</f>
        <v>556.1159119092689</v>
      </c>
      <c r="G44" s="11">
        <f>'2. Tulud-kulud projektiga'!G44-'3. Tulud-kulud projektita'!G44</f>
        <v>1668.3477357278068</v>
      </c>
      <c r="H44" s="11">
        <f>'2. Tulud-kulud projektiga'!H44-'3. Tulud-kulud projektita'!H44</f>
        <v>1668.3477357278068</v>
      </c>
      <c r="I44" s="11">
        <f>'2. Tulud-kulud projektiga'!I44-'3. Tulud-kulud projektita'!I44</f>
        <v>1836.709363293277</v>
      </c>
      <c r="J44" s="11">
        <f>'2. Tulud-kulud projektiga'!J44-'3. Tulud-kulud projektita'!J44</f>
        <v>1836.709363293277</v>
      </c>
      <c r="K44" s="11">
        <f>'2. Tulud-kulud projektiga'!K44-'3. Tulud-kulud projektita'!K44</f>
        <v>1836.709363293277</v>
      </c>
      <c r="L44" s="11">
        <f>'2. Tulud-kulud projektiga'!L44-'3. Tulud-kulud projektita'!L44</f>
        <v>1836.709363293277</v>
      </c>
      <c r="M44" s="11">
        <f>'2. Tulud-kulud projektiga'!M44-'3. Tulud-kulud projektita'!M44</f>
        <v>2007.5042391046027</v>
      </c>
      <c r="N44" s="11">
        <f>'2. Tulud-kulud projektiga'!N44-'3. Tulud-kulud projektita'!N44</f>
        <v>2007.5042391046027</v>
      </c>
      <c r="O44" s="11">
        <f>'2. Tulud-kulud projektiga'!O44-'3. Tulud-kulud projektita'!O44</f>
        <v>2007.5042391046027</v>
      </c>
      <c r="P44" s="11">
        <f>'2. Tulud-kulud projektiga'!P44-'3. Tulud-kulud projektita'!P44</f>
        <v>2007.5042391046027</v>
      </c>
      <c r="Q44" s="11">
        <f>'2. Tulud-kulud projektiga'!Q44-'3. Tulud-kulud projektita'!Q44</f>
        <v>2007.5042391046027</v>
      </c>
      <c r="R44" s="11">
        <f>'2. Tulud-kulud projektiga'!R44-'3. Tulud-kulud projektita'!R44</f>
        <v>2007.5042391046027</v>
      </c>
      <c r="S44" s="11">
        <f>'2. Tulud-kulud projektiga'!S44-'3. Tulud-kulud projektita'!S44</f>
        <v>2007.5042391046027</v>
      </c>
      <c r="T44" s="7"/>
    </row>
    <row r="45" spans="1:20" x14ac:dyDescent="0.35">
      <c r="A45" s="809"/>
      <c r="B45" s="52" t="s">
        <v>1</v>
      </c>
      <c r="C45" s="53" t="s">
        <v>3</v>
      </c>
      <c r="D45" s="54">
        <f>'2. Tulud-kulud projektiga'!D45-'3. Tulud-kulud projektita'!D45</f>
        <v>0</v>
      </c>
      <c r="E45" s="54">
        <f>'2. Tulud-kulud projektiga'!E45-'3. Tulud-kulud projektita'!E45</f>
        <v>0</v>
      </c>
      <c r="F45" s="54">
        <f>'2. Tulud-kulud projektiga'!F45-'3. Tulud-kulud projektita'!F45</f>
        <v>6673.3909429112264</v>
      </c>
      <c r="G45" s="54">
        <f>'2. Tulud-kulud projektiga'!G45-'3. Tulud-kulud projektita'!G45</f>
        <v>20020.172828733681</v>
      </c>
      <c r="H45" s="54">
        <f>'2. Tulud-kulud projektiga'!H45-'3. Tulud-kulud projektita'!H45</f>
        <v>20020.172828733681</v>
      </c>
      <c r="I45" s="54">
        <f>'2. Tulud-kulud projektiga'!I45-'3. Tulud-kulud projektita'!I45</f>
        <v>22040.512359519322</v>
      </c>
      <c r="J45" s="54">
        <f>'2. Tulud-kulud projektiga'!J45-'3. Tulud-kulud projektita'!J45</f>
        <v>22040.512359519322</v>
      </c>
      <c r="K45" s="54">
        <f>'2. Tulud-kulud projektiga'!K45-'3. Tulud-kulud projektita'!K45</f>
        <v>22040.512359519322</v>
      </c>
      <c r="L45" s="54">
        <f>'2. Tulud-kulud projektiga'!L45-'3. Tulud-kulud projektita'!L45</f>
        <v>22040.512359519322</v>
      </c>
      <c r="M45" s="54">
        <f>'2. Tulud-kulud projektiga'!M45-'3. Tulud-kulud projektita'!M45</f>
        <v>24090.050869255232</v>
      </c>
      <c r="N45" s="54">
        <f>'2. Tulud-kulud projektiga'!N45-'3. Tulud-kulud projektita'!N45</f>
        <v>24090.050869255232</v>
      </c>
      <c r="O45" s="54">
        <f>'2. Tulud-kulud projektiga'!O45-'3. Tulud-kulud projektita'!O45</f>
        <v>24090.050869255232</v>
      </c>
      <c r="P45" s="54">
        <f>'2. Tulud-kulud projektiga'!P45-'3. Tulud-kulud projektita'!P45</f>
        <v>24090.050869255232</v>
      </c>
      <c r="Q45" s="54">
        <f>'2. Tulud-kulud projektiga'!Q45-'3. Tulud-kulud projektita'!Q45</f>
        <v>24090.050869255232</v>
      </c>
      <c r="R45" s="54">
        <f>'2. Tulud-kulud projektiga'!R45-'3. Tulud-kulud projektita'!R45</f>
        <v>24090.050869255232</v>
      </c>
      <c r="S45" s="54">
        <f>'2. Tulud-kulud projektiga'!S45-'3. Tulud-kulud projektita'!S45</f>
        <v>24090.050869255232</v>
      </c>
      <c r="T45" s="7"/>
    </row>
    <row r="46" spans="1:20" ht="12" hidden="1" customHeight="1" x14ac:dyDescent="0.35">
      <c r="A46" s="15"/>
      <c r="B46" s="26"/>
      <c r="C46" s="12"/>
      <c r="D46" s="12"/>
      <c r="E46" s="12"/>
      <c r="F46" s="12"/>
      <c r="G46" s="12"/>
      <c r="H46" s="12"/>
      <c r="I46" s="12"/>
      <c r="J46" s="12"/>
      <c r="K46" s="12"/>
      <c r="L46" s="12"/>
      <c r="M46" s="12"/>
      <c r="N46" s="12"/>
      <c r="O46" s="12"/>
      <c r="P46" s="12"/>
      <c r="Q46" s="12"/>
      <c r="R46" s="12"/>
      <c r="S46" s="12"/>
      <c r="T46" s="7"/>
    </row>
    <row r="47" spans="1:20" ht="18.75" hidden="1" customHeight="1" x14ac:dyDescent="0.35">
      <c r="A47" s="805" t="str">
        <f>'2. Tulud-kulud projektiga'!A47:B47</f>
        <v>Muu tulu (nimetage)</v>
      </c>
      <c r="B47" s="806"/>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11">
        <f>'2. Tulud-kulud projektiga'!S47-'3. Tulud-kulud projektita'!S47</f>
        <v>0</v>
      </c>
      <c r="T47" s="7"/>
    </row>
    <row r="48" spans="1:20" ht="18.75" hidden="1" customHeight="1" x14ac:dyDescent="0.35">
      <c r="A48" s="805" t="str">
        <f>'2. Tulud-kulud projektiga'!A48:B48</f>
        <v>Muu tulu (nimetage)</v>
      </c>
      <c r="B48" s="806"/>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11">
        <f>'2. Tulud-kulud projektiga'!S48-'3. Tulud-kulud projektita'!S48</f>
        <v>0</v>
      </c>
      <c r="T48" s="7"/>
    </row>
    <row r="49" spans="1:21" ht="18.75" hidden="1" customHeight="1" x14ac:dyDescent="0.35">
      <c r="A49" s="805" t="str">
        <f>'2. Tulud-kulud projektiga'!A49:B49</f>
        <v>Muu tulu (nimetage)</v>
      </c>
      <c r="B49" s="806"/>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11">
        <f>'2. Tulud-kulud projektiga'!S49-'3. Tulud-kulud projektita'!S49</f>
        <v>0</v>
      </c>
      <c r="T49" s="7"/>
    </row>
    <row r="50" spans="1:21" ht="18.75" hidden="1" customHeight="1" x14ac:dyDescent="0.35">
      <c r="A50" s="805" t="str">
        <f>'2. Tulud-kulud projektiga'!A50:B50</f>
        <v>Muu tulu (nimetage)</v>
      </c>
      <c r="B50" s="806"/>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11">
        <f>'2. Tulud-kulud projektiga'!S50-'3. Tulud-kulud projektita'!S50</f>
        <v>0</v>
      </c>
      <c r="T50" s="7"/>
    </row>
    <row r="51" spans="1:21" ht="18.75" hidden="1" customHeight="1" x14ac:dyDescent="0.35">
      <c r="A51" s="805" t="str">
        <f>'2. Tulud-kulud projektiga'!A51:B51</f>
        <v>Muu tulu (nimetage)</v>
      </c>
      <c r="B51" s="806"/>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11">
        <f>'2. Tulud-kulud projektiga'!S51-'3. Tulud-kulud projektita'!S51</f>
        <v>0</v>
      </c>
      <c r="T51" s="7"/>
    </row>
    <row r="52" spans="1:21" ht="4.5" customHeight="1" x14ac:dyDescent="0.35">
      <c r="A52" s="4"/>
      <c r="B52" s="25"/>
      <c r="C52" s="9"/>
      <c r="D52" s="9"/>
      <c r="E52" s="9"/>
      <c r="F52" s="9"/>
      <c r="G52" s="9"/>
      <c r="H52" s="9"/>
      <c r="I52" s="9"/>
      <c r="J52" s="9"/>
      <c r="K52" s="9"/>
      <c r="L52" s="9"/>
      <c r="M52" s="9"/>
      <c r="N52" s="9"/>
      <c r="O52" s="9"/>
      <c r="P52" s="9"/>
      <c r="Q52" s="9"/>
      <c r="R52" s="9"/>
      <c r="S52" s="9"/>
      <c r="T52" s="7"/>
    </row>
    <row r="53" spans="1:21" s="3" customFormat="1" ht="21" customHeight="1" x14ac:dyDescent="0.35">
      <c r="A53" s="807" t="s">
        <v>59</v>
      </c>
      <c r="B53" s="808"/>
      <c r="C53" s="48" t="s">
        <v>3</v>
      </c>
      <c r="D53" s="58">
        <f t="shared" ref="D53" si="4">D9+D13+D17+D21+D25+D29+D33+D37+D41+D45+D47+D48+D49+D50+D51</f>
        <v>0</v>
      </c>
      <c r="E53" s="58">
        <f t="shared" ref="E53:R53" si="5">E9+E13+E17+E21+E25+E29+E33+E37+E41+E45+E47+E48+E49+E50+E51</f>
        <v>0</v>
      </c>
      <c r="F53" s="58">
        <f t="shared" si="5"/>
        <v>36772.290942911226</v>
      </c>
      <c r="G53" s="58">
        <f t="shared" si="5"/>
        <v>110316.87282873367</v>
      </c>
      <c r="H53" s="58">
        <f t="shared" si="5"/>
        <v>110316.87282873367</v>
      </c>
      <c r="I53" s="58">
        <f t="shared" si="5"/>
        <v>148080.71235951933</v>
      </c>
      <c r="J53" s="58">
        <f t="shared" si="5"/>
        <v>148080.71235951933</v>
      </c>
      <c r="K53" s="58">
        <f t="shared" si="5"/>
        <v>148080.71235951933</v>
      </c>
      <c r="L53" s="58">
        <f t="shared" si="5"/>
        <v>148080.71235951933</v>
      </c>
      <c r="M53" s="58">
        <f t="shared" si="5"/>
        <v>185873.75086925525</v>
      </c>
      <c r="N53" s="58">
        <f t="shared" si="5"/>
        <v>185873.75086925525</v>
      </c>
      <c r="O53" s="58">
        <f t="shared" si="5"/>
        <v>185873.75086925525</v>
      </c>
      <c r="P53" s="58">
        <f t="shared" si="5"/>
        <v>185873.75086925525</v>
      </c>
      <c r="Q53" s="58">
        <f t="shared" si="5"/>
        <v>185873.75086925525</v>
      </c>
      <c r="R53" s="58">
        <f t="shared" si="5"/>
        <v>185873.75086925525</v>
      </c>
      <c r="S53" s="58">
        <f t="shared" ref="S53" si="6">S9+S13+S17+S21+S25+S29+S33+S37+S41+S45+S47+S48+S49+S50+S51</f>
        <v>185873.75086925525</v>
      </c>
      <c r="T53" s="8"/>
    </row>
    <row r="54" spans="1:21" ht="4.5" customHeight="1" x14ac:dyDescent="0.35">
      <c r="A54" s="4"/>
      <c r="B54" s="25"/>
      <c r="C54" s="9"/>
      <c r="D54" s="9"/>
      <c r="E54" s="9"/>
      <c r="F54" s="9"/>
      <c r="G54" s="9"/>
      <c r="H54" s="9"/>
      <c r="I54" s="9"/>
      <c r="J54" s="9"/>
      <c r="K54" s="9"/>
      <c r="L54" s="9"/>
      <c r="M54" s="9"/>
      <c r="N54" s="9"/>
      <c r="O54" s="9"/>
      <c r="P54" s="9"/>
      <c r="Q54" s="9"/>
      <c r="R54" s="9"/>
      <c r="S54" s="9"/>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t="b">
        <f>S53=('2. Tulud-kulud projektiga'!S53-'3. Tulud-kulud projektita'!S53)</f>
        <v>1</v>
      </c>
      <c r="T55" s="62"/>
    </row>
    <row r="56" spans="1:21" ht="15.5" x14ac:dyDescent="0.35">
      <c r="A56" s="5" t="s">
        <v>61</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10"/>
      <c r="T57" s="7"/>
    </row>
    <row r="58" spans="1:21" x14ac:dyDescent="0.35">
      <c r="A58" s="809" t="s">
        <v>10</v>
      </c>
      <c r="B58" s="50" t="str">
        <f>'2. Tulud-kulud projektiga'!B58</f>
        <v>Haldusjuht</v>
      </c>
      <c r="C58" s="51" t="s">
        <v>3</v>
      </c>
      <c r="D58" s="11">
        <f>'2. Tulud-kulud projektiga'!D58-'3. Tulud-kulud projektita'!D58</f>
        <v>0</v>
      </c>
      <c r="E58" s="11">
        <f>'2. Tulud-kulud projektiga'!E58-'3. Tulud-kulud projektita'!E58</f>
        <v>0</v>
      </c>
      <c r="F58" s="11">
        <f>'2. Tulud-kulud projektiga'!F58-'3. Tulud-kulud projektita'!F58</f>
        <v>8454</v>
      </c>
      <c r="G58" s="11">
        <f>'2. Tulud-kulud projektiga'!G58-'3. Tulud-kulud projektita'!G58</f>
        <v>16908</v>
      </c>
      <c r="H58" s="11">
        <f>'2. Tulud-kulud projektiga'!H58-'3. Tulud-kulud projektita'!H58</f>
        <v>16908</v>
      </c>
      <c r="I58" s="11">
        <f>'2. Tulud-kulud projektiga'!I58-'3. Tulud-kulud projektita'!I58</f>
        <v>16908</v>
      </c>
      <c r="J58" s="11">
        <f>'2. Tulud-kulud projektiga'!J58-'3. Tulud-kulud projektita'!J58</f>
        <v>16908</v>
      </c>
      <c r="K58" s="11">
        <f>'2. Tulud-kulud projektiga'!K58-'3. Tulud-kulud projektita'!K58</f>
        <v>16908</v>
      </c>
      <c r="L58" s="11">
        <f>'2. Tulud-kulud projektiga'!L58-'3. Tulud-kulud projektita'!L58</f>
        <v>16908</v>
      </c>
      <c r="M58" s="11">
        <f>'2. Tulud-kulud projektiga'!M58-'3. Tulud-kulud projektita'!M58</f>
        <v>16908</v>
      </c>
      <c r="N58" s="11">
        <f>'2. Tulud-kulud projektiga'!N58-'3. Tulud-kulud projektita'!N58</f>
        <v>16908</v>
      </c>
      <c r="O58" s="11">
        <f>'2. Tulud-kulud projektiga'!O58-'3. Tulud-kulud projektita'!O58</f>
        <v>16908</v>
      </c>
      <c r="P58" s="11">
        <f>'2. Tulud-kulud projektiga'!P58-'3. Tulud-kulud projektita'!P58</f>
        <v>16908</v>
      </c>
      <c r="Q58" s="11">
        <f>'2. Tulud-kulud projektiga'!Q58-'3. Tulud-kulud projektita'!Q58</f>
        <v>16908</v>
      </c>
      <c r="R58" s="11">
        <f>'2. Tulud-kulud projektiga'!R58-'3. Tulud-kulud projektita'!R58</f>
        <v>16908</v>
      </c>
      <c r="S58" s="11">
        <f>'2. Tulud-kulud projektiga'!S58-'3. Tulud-kulud projektita'!S58</f>
        <v>16908</v>
      </c>
      <c r="T58" s="16"/>
      <c r="U58" s="17"/>
    </row>
    <row r="59" spans="1:21" x14ac:dyDescent="0.35">
      <c r="A59" s="809"/>
      <c r="B59" s="50" t="str">
        <f>'2. Tulud-kulud projektiga'!B59</f>
        <v>Majandusjuht</v>
      </c>
      <c r="C59" s="51" t="s">
        <v>3</v>
      </c>
      <c r="D59" s="11">
        <f>'2. Tulud-kulud projektiga'!D59-'3. Tulud-kulud projektita'!D59</f>
        <v>0</v>
      </c>
      <c r="E59" s="11">
        <f>'2. Tulud-kulud projektiga'!E59-'3. Tulud-kulud projektita'!E59</f>
        <v>0</v>
      </c>
      <c r="F59" s="11">
        <f>'2. Tulud-kulud projektiga'!F59-'3. Tulud-kulud projektita'!F59</f>
        <v>8454</v>
      </c>
      <c r="G59" s="11">
        <f>'2. Tulud-kulud projektiga'!G59-'3. Tulud-kulud projektita'!G59</f>
        <v>16908</v>
      </c>
      <c r="H59" s="11">
        <f>'2. Tulud-kulud projektiga'!H59-'3. Tulud-kulud projektita'!H59</f>
        <v>16908</v>
      </c>
      <c r="I59" s="11">
        <f>'2. Tulud-kulud projektiga'!I59-'3. Tulud-kulud projektita'!I59</f>
        <v>16908</v>
      </c>
      <c r="J59" s="11">
        <f>'2. Tulud-kulud projektiga'!J59-'3. Tulud-kulud projektita'!J59</f>
        <v>16908</v>
      </c>
      <c r="K59" s="11">
        <f>'2. Tulud-kulud projektiga'!K59-'3. Tulud-kulud projektita'!K59</f>
        <v>16908</v>
      </c>
      <c r="L59" s="11">
        <f>'2. Tulud-kulud projektiga'!L59-'3. Tulud-kulud projektita'!L59</f>
        <v>16908</v>
      </c>
      <c r="M59" s="11">
        <f>'2. Tulud-kulud projektiga'!M59-'3. Tulud-kulud projektita'!M59</f>
        <v>16908</v>
      </c>
      <c r="N59" s="11">
        <f>'2. Tulud-kulud projektiga'!N59-'3. Tulud-kulud projektita'!N59</f>
        <v>16908</v>
      </c>
      <c r="O59" s="11">
        <f>'2. Tulud-kulud projektiga'!O59-'3. Tulud-kulud projektita'!O59</f>
        <v>16908</v>
      </c>
      <c r="P59" s="11">
        <f>'2. Tulud-kulud projektiga'!P59-'3. Tulud-kulud projektita'!P59</f>
        <v>16908</v>
      </c>
      <c r="Q59" s="11">
        <f>'2. Tulud-kulud projektiga'!Q59-'3. Tulud-kulud projektita'!Q59</f>
        <v>16908</v>
      </c>
      <c r="R59" s="11">
        <f>'2. Tulud-kulud projektiga'!R59-'3. Tulud-kulud projektita'!R59</f>
        <v>16908</v>
      </c>
      <c r="S59" s="11">
        <f>'2. Tulud-kulud projektiga'!S59-'3. Tulud-kulud projektita'!S59</f>
        <v>16908</v>
      </c>
      <c r="T59" s="16"/>
      <c r="U59" s="17"/>
    </row>
    <row r="60" spans="1:21" x14ac:dyDescent="0.35">
      <c r="A60" s="809"/>
      <c r="B60" s="50" t="str">
        <f>'2. Tulud-kulud projektiga'!B60</f>
        <v>Arendusjuht</v>
      </c>
      <c r="C60" s="51" t="s">
        <v>3</v>
      </c>
      <c r="D60" s="11">
        <f>'2. Tulud-kulud projektiga'!D60-'3. Tulud-kulud projektita'!D60</f>
        <v>0</v>
      </c>
      <c r="E60" s="11">
        <f>'2. Tulud-kulud projektiga'!E60-'3. Tulud-kulud projektita'!E60</f>
        <v>0</v>
      </c>
      <c r="F60" s="11">
        <f>'2. Tulud-kulud projektiga'!F60-'3. Tulud-kulud projektita'!F60</f>
        <v>8454</v>
      </c>
      <c r="G60" s="11">
        <f>'2. Tulud-kulud projektiga'!G60-'3. Tulud-kulud projektita'!G60</f>
        <v>16908</v>
      </c>
      <c r="H60" s="11">
        <f>'2. Tulud-kulud projektiga'!H60-'3. Tulud-kulud projektita'!H60</f>
        <v>16908</v>
      </c>
      <c r="I60" s="11">
        <f>'2. Tulud-kulud projektiga'!I60-'3. Tulud-kulud projektita'!I60</f>
        <v>16908</v>
      </c>
      <c r="J60" s="11">
        <f>'2. Tulud-kulud projektiga'!J60-'3. Tulud-kulud projektita'!J60</f>
        <v>16908</v>
      </c>
      <c r="K60" s="11">
        <f>'2. Tulud-kulud projektiga'!K60-'3. Tulud-kulud projektita'!K60</f>
        <v>16908</v>
      </c>
      <c r="L60" s="11">
        <f>'2. Tulud-kulud projektiga'!L60-'3. Tulud-kulud projektita'!L60</f>
        <v>16908</v>
      </c>
      <c r="M60" s="11">
        <f>'2. Tulud-kulud projektiga'!M60-'3. Tulud-kulud projektita'!M60</f>
        <v>16908</v>
      </c>
      <c r="N60" s="11">
        <f>'2. Tulud-kulud projektiga'!N60-'3. Tulud-kulud projektita'!N60</f>
        <v>16908</v>
      </c>
      <c r="O60" s="11">
        <f>'2. Tulud-kulud projektiga'!O60-'3. Tulud-kulud projektita'!O60</f>
        <v>16908</v>
      </c>
      <c r="P60" s="11">
        <f>'2. Tulud-kulud projektiga'!P60-'3. Tulud-kulud projektita'!P60</f>
        <v>16908</v>
      </c>
      <c r="Q60" s="11">
        <f>'2. Tulud-kulud projektiga'!Q60-'3. Tulud-kulud projektita'!Q60</f>
        <v>16908</v>
      </c>
      <c r="R60" s="11">
        <f>'2. Tulud-kulud projektiga'!R60-'3. Tulud-kulud projektita'!R60</f>
        <v>16908</v>
      </c>
      <c r="S60" s="11">
        <f>'2. Tulud-kulud projektiga'!S60-'3. Tulud-kulud projektita'!S60</f>
        <v>16908</v>
      </c>
      <c r="T60" s="16"/>
      <c r="U60" s="17"/>
    </row>
    <row r="61" spans="1:21" hidden="1" x14ac:dyDescent="0.35">
      <c r="A61" s="809"/>
      <c r="B61" s="50">
        <f>'2. Tulud-kulud projektiga'!B61</f>
        <v>0</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0</v>
      </c>
      <c r="I61" s="11">
        <f>'2. Tulud-kulud projektiga'!I61-'3. Tulud-kulud projektita'!I61</f>
        <v>0</v>
      </c>
      <c r="J61" s="11">
        <f>'2. Tulud-kulud projektiga'!J61-'3. Tulud-kulud projektita'!J61</f>
        <v>0</v>
      </c>
      <c r="K61" s="11">
        <f>'2. Tulud-kulud projektiga'!K61-'3. Tulud-kulud projektita'!K61</f>
        <v>0</v>
      </c>
      <c r="L61" s="11">
        <f>'2. Tulud-kulud projektiga'!L61-'3. Tulud-kulud projektita'!L61</f>
        <v>0</v>
      </c>
      <c r="M61" s="11">
        <f>'2. Tulud-kulud projektiga'!M61-'3. Tulud-kulud projektita'!M61</f>
        <v>0</v>
      </c>
      <c r="N61" s="11">
        <f>'2. Tulud-kulud projektiga'!N61-'3. Tulud-kulud projektita'!N61</f>
        <v>0</v>
      </c>
      <c r="O61" s="11">
        <f>'2. Tulud-kulud projektiga'!O61-'3. Tulud-kulud projektita'!O61</f>
        <v>0</v>
      </c>
      <c r="P61" s="11">
        <f>'2. Tulud-kulud projektiga'!P61-'3. Tulud-kulud projektita'!P61</f>
        <v>0</v>
      </c>
      <c r="Q61" s="11">
        <f>'2. Tulud-kulud projektiga'!Q61-'3. Tulud-kulud projektita'!Q61</f>
        <v>0</v>
      </c>
      <c r="R61" s="11">
        <f>'2. Tulud-kulud projektiga'!R61-'3. Tulud-kulud projektita'!R61</f>
        <v>0</v>
      </c>
      <c r="S61" s="11">
        <f>'2. Tulud-kulud projektiga'!S61-'3. Tulud-kulud projektita'!S61</f>
        <v>0</v>
      </c>
      <c r="T61" s="16"/>
      <c r="U61" s="17"/>
    </row>
    <row r="62" spans="1:21" hidden="1" x14ac:dyDescent="0.35">
      <c r="A62" s="809"/>
      <c r="B62" s="50" t="str">
        <f>'2. Tulud-kulud projektiga'!B62</f>
        <v>Töötaja 5</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1">
        <f>'2. Tulud-kulud projektiga'!S62-'3. Tulud-kulud projektita'!S62</f>
        <v>0</v>
      </c>
      <c r="T62" s="16"/>
      <c r="U62" s="17"/>
    </row>
    <row r="63" spans="1:21" hidden="1" x14ac:dyDescent="0.35">
      <c r="A63" s="809"/>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1">
        <f>'2. Tulud-kulud projektiga'!S63-'3. Tulud-kulud projektita'!S63</f>
        <v>0</v>
      </c>
      <c r="T63" s="16"/>
      <c r="U63" s="17"/>
    </row>
    <row r="64" spans="1:21" hidden="1" x14ac:dyDescent="0.35">
      <c r="A64" s="809"/>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1">
        <f>'2. Tulud-kulud projektiga'!S64-'3. Tulud-kulud projektita'!S64</f>
        <v>0</v>
      </c>
      <c r="T64" s="16"/>
      <c r="U64" s="17"/>
    </row>
    <row r="65" spans="1:21" hidden="1" x14ac:dyDescent="0.35">
      <c r="A65" s="809"/>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1">
        <f>'2. Tulud-kulud projektiga'!S65-'3. Tulud-kulud projektita'!S65</f>
        <v>0</v>
      </c>
      <c r="T65" s="16"/>
      <c r="U65" s="17"/>
    </row>
    <row r="66" spans="1:21" hidden="1" x14ac:dyDescent="0.35">
      <c r="A66" s="809"/>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1">
        <f>'2. Tulud-kulud projektiga'!S66-'3. Tulud-kulud projektita'!S66</f>
        <v>0</v>
      </c>
      <c r="T66" s="16"/>
      <c r="U66" s="17"/>
    </row>
    <row r="67" spans="1:21" hidden="1" x14ac:dyDescent="0.35">
      <c r="A67" s="809"/>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1">
        <f>'2. Tulud-kulud projektiga'!S67-'3. Tulud-kulud projektita'!S67</f>
        <v>0</v>
      </c>
      <c r="T67" s="16"/>
      <c r="U67" s="17"/>
    </row>
    <row r="68" spans="1:21" hidden="1" x14ac:dyDescent="0.35">
      <c r="A68" s="809"/>
      <c r="B68" s="50" t="str">
        <f>'2. Tulud-kulud projektiga'!B68</f>
        <v>Töötaja 11</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1">
        <f>'2. Tulud-kulud projektiga'!S68-'3. Tulud-kulud projektita'!S68</f>
        <v>0</v>
      </c>
      <c r="T68" s="16"/>
      <c r="U68" s="17"/>
    </row>
    <row r="69" spans="1:21" hidden="1" x14ac:dyDescent="0.35">
      <c r="A69" s="809"/>
      <c r="B69" s="50" t="str">
        <f>'2. Tulud-kulud projektiga'!B69</f>
        <v>Töötaja 12</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1">
        <f>'2. Tulud-kulud projektiga'!S69-'3. Tulud-kulud projektita'!S69</f>
        <v>0</v>
      </c>
      <c r="T69" s="16"/>
      <c r="U69" s="17"/>
    </row>
    <row r="70" spans="1:21" hidden="1" x14ac:dyDescent="0.35">
      <c r="A70" s="809"/>
      <c r="B70" s="50" t="str">
        <f>'2. Tulud-kulud projektiga'!B70</f>
        <v>Töötaja 13</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1">
        <f>'2. Tulud-kulud projektiga'!S70-'3. Tulud-kulud projektita'!S70</f>
        <v>0</v>
      </c>
      <c r="T70" s="16"/>
      <c r="U70" s="17"/>
    </row>
    <row r="71" spans="1:21" hidden="1" x14ac:dyDescent="0.35">
      <c r="A71" s="809"/>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1">
        <f>'2. Tulud-kulud projektiga'!S71-'3. Tulud-kulud projektita'!S71</f>
        <v>0</v>
      </c>
      <c r="T71" s="16"/>
      <c r="U71" s="17"/>
    </row>
    <row r="72" spans="1:21" hidden="1" x14ac:dyDescent="0.35">
      <c r="A72" s="809"/>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1">
        <f>'2. Tulud-kulud projektiga'!S72-'3. Tulud-kulud projektita'!S72</f>
        <v>0</v>
      </c>
      <c r="T72" s="16"/>
      <c r="U72" s="17"/>
    </row>
    <row r="73" spans="1:21" hidden="1" x14ac:dyDescent="0.35">
      <c r="A73" s="809"/>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1">
        <f>'2. Tulud-kulud projektiga'!S73-'3. Tulud-kulud projektita'!S73</f>
        <v>0</v>
      </c>
      <c r="T73" s="16"/>
      <c r="U73" s="17"/>
    </row>
    <row r="74" spans="1:21" hidden="1" x14ac:dyDescent="0.35">
      <c r="A74" s="809"/>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1">
        <f>'2. Tulud-kulud projektiga'!S74-'3. Tulud-kulud projektita'!S74</f>
        <v>0</v>
      </c>
      <c r="T74" s="16"/>
      <c r="U74" s="17"/>
    </row>
    <row r="75" spans="1:21" hidden="1" x14ac:dyDescent="0.35">
      <c r="A75" s="809"/>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1">
        <f>'2. Tulud-kulud projektiga'!S75-'3. Tulud-kulud projektita'!S75</f>
        <v>0</v>
      </c>
      <c r="T75" s="16"/>
      <c r="U75" s="17"/>
    </row>
    <row r="76" spans="1:21" hidden="1" x14ac:dyDescent="0.35">
      <c r="A76" s="809"/>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1">
        <f>'2. Tulud-kulud projektiga'!S76-'3. Tulud-kulud projektita'!S76</f>
        <v>0</v>
      </c>
      <c r="T76" s="16"/>
      <c r="U76" s="17"/>
    </row>
    <row r="77" spans="1:21" hidden="1" x14ac:dyDescent="0.35">
      <c r="A77" s="809"/>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1">
        <f>'2. Tulud-kulud projektiga'!S77-'3. Tulud-kulud projektita'!S77</f>
        <v>0</v>
      </c>
      <c r="T77" s="16"/>
      <c r="U77" s="17"/>
    </row>
    <row r="78" spans="1:21" x14ac:dyDescent="0.35">
      <c r="A78" s="809"/>
      <c r="B78" s="50" t="s">
        <v>18</v>
      </c>
      <c r="C78" s="51" t="s">
        <v>3</v>
      </c>
      <c r="D78" s="56">
        <f>'2. Tulud-kulud projektiga'!D78-'3. Tulud-kulud projektita'!D78</f>
        <v>0</v>
      </c>
      <c r="E78" s="56">
        <f>'2. Tulud-kulud projektiga'!E78-'3. Tulud-kulud projektita'!E78</f>
        <v>0</v>
      </c>
      <c r="F78" s="56">
        <f>'2. Tulud-kulud projektiga'!F78-'3. Tulud-kulud projektita'!F78</f>
        <v>25362</v>
      </c>
      <c r="G78" s="56">
        <f>'2. Tulud-kulud projektiga'!G78-'3. Tulud-kulud projektita'!G78</f>
        <v>50724</v>
      </c>
      <c r="H78" s="56">
        <f>'2. Tulud-kulud projektiga'!H78-'3. Tulud-kulud projektita'!H78</f>
        <v>50724</v>
      </c>
      <c r="I78" s="56">
        <f>'2. Tulud-kulud projektiga'!I78-'3. Tulud-kulud projektita'!I78</f>
        <v>50724</v>
      </c>
      <c r="J78" s="56">
        <f>'2. Tulud-kulud projektiga'!J78-'3. Tulud-kulud projektita'!J78</f>
        <v>50724</v>
      </c>
      <c r="K78" s="56">
        <f>'2. Tulud-kulud projektiga'!K78-'3. Tulud-kulud projektita'!K78</f>
        <v>50724</v>
      </c>
      <c r="L78" s="56">
        <f>'2. Tulud-kulud projektiga'!L78-'3. Tulud-kulud projektita'!L78</f>
        <v>50724</v>
      </c>
      <c r="M78" s="56">
        <f>'2. Tulud-kulud projektiga'!M78-'3. Tulud-kulud projektita'!M78</f>
        <v>50724</v>
      </c>
      <c r="N78" s="56">
        <f>'2. Tulud-kulud projektiga'!N78-'3. Tulud-kulud projektita'!N78</f>
        <v>50724</v>
      </c>
      <c r="O78" s="56">
        <f>'2. Tulud-kulud projektiga'!O78-'3. Tulud-kulud projektita'!O78</f>
        <v>50724</v>
      </c>
      <c r="P78" s="56">
        <f>'2. Tulud-kulud projektiga'!P78-'3. Tulud-kulud projektita'!P78</f>
        <v>50724</v>
      </c>
      <c r="Q78" s="56">
        <f>'2. Tulud-kulud projektiga'!Q78-'3. Tulud-kulud projektita'!Q78</f>
        <v>50724</v>
      </c>
      <c r="R78" s="56">
        <f>'2. Tulud-kulud projektiga'!R78-'3. Tulud-kulud projektita'!R78</f>
        <v>50724</v>
      </c>
      <c r="S78" s="56">
        <f>'2. Tulud-kulud projektiga'!S78-'3. Tulud-kulud projektita'!S78</f>
        <v>50724</v>
      </c>
      <c r="T78" s="16"/>
      <c r="U78" s="17"/>
    </row>
    <row r="79" spans="1:21" x14ac:dyDescent="0.35">
      <c r="A79" s="809"/>
      <c r="B79" s="50" t="s">
        <v>17</v>
      </c>
      <c r="C79" s="55"/>
      <c r="D79" s="56">
        <f>'2. Tulud-kulud projektiga'!D79-'3. Tulud-kulud projektita'!D79</f>
        <v>0</v>
      </c>
      <c r="E79" s="56">
        <f>'2. Tulud-kulud projektiga'!E79-'3. Tulud-kulud projektita'!E79</f>
        <v>0</v>
      </c>
      <c r="F79" s="56">
        <f>'2. Tulud-kulud projektiga'!F79-'3. Tulud-kulud projektita'!F79</f>
        <v>8572.3559999999998</v>
      </c>
      <c r="G79" s="56">
        <f>'2. Tulud-kulud projektiga'!G79-'3. Tulud-kulud projektita'!G79</f>
        <v>17144.712</v>
      </c>
      <c r="H79" s="56">
        <f>'2. Tulud-kulud projektiga'!H79-'3. Tulud-kulud projektita'!H79</f>
        <v>17144.712</v>
      </c>
      <c r="I79" s="56">
        <f>'2. Tulud-kulud projektiga'!I79-'3. Tulud-kulud projektita'!I79</f>
        <v>17144.712</v>
      </c>
      <c r="J79" s="56">
        <f>'2. Tulud-kulud projektiga'!J79-'3. Tulud-kulud projektita'!J79</f>
        <v>17144.712</v>
      </c>
      <c r="K79" s="56">
        <f>'2. Tulud-kulud projektiga'!K79-'3. Tulud-kulud projektita'!K79</f>
        <v>17144.712</v>
      </c>
      <c r="L79" s="56">
        <f>'2. Tulud-kulud projektiga'!L79-'3. Tulud-kulud projektita'!L79</f>
        <v>17144.712</v>
      </c>
      <c r="M79" s="56">
        <f>'2. Tulud-kulud projektiga'!M79-'3. Tulud-kulud projektita'!M79</f>
        <v>17144.712</v>
      </c>
      <c r="N79" s="56">
        <f>'2. Tulud-kulud projektiga'!N79-'3. Tulud-kulud projektita'!N79</f>
        <v>17144.712</v>
      </c>
      <c r="O79" s="56">
        <f>'2. Tulud-kulud projektiga'!O79-'3. Tulud-kulud projektita'!O79</f>
        <v>17144.712</v>
      </c>
      <c r="P79" s="56">
        <f>'2. Tulud-kulud projektiga'!P79-'3. Tulud-kulud projektita'!P79</f>
        <v>17144.712</v>
      </c>
      <c r="Q79" s="56">
        <f>'2. Tulud-kulud projektiga'!Q79-'3. Tulud-kulud projektita'!Q79</f>
        <v>17144.712</v>
      </c>
      <c r="R79" s="56">
        <f>'2. Tulud-kulud projektiga'!R79-'3. Tulud-kulud projektita'!R79</f>
        <v>17144.712</v>
      </c>
      <c r="S79" s="56">
        <f>'2. Tulud-kulud projektiga'!S79-'3. Tulud-kulud projektita'!S79</f>
        <v>17144.712</v>
      </c>
      <c r="T79" s="16"/>
      <c r="U79" s="17"/>
    </row>
    <row r="80" spans="1:21" x14ac:dyDescent="0.35">
      <c r="A80" s="799" t="s">
        <v>19</v>
      </c>
      <c r="B80" s="800"/>
      <c r="C80" s="49"/>
      <c r="D80" s="59">
        <f>'2. Tulud-kulud projektiga'!D80-'3. Tulud-kulud projektita'!D80</f>
        <v>0</v>
      </c>
      <c r="E80" s="59">
        <f>'2. Tulud-kulud projektiga'!E80-'3. Tulud-kulud projektita'!E80</f>
        <v>0</v>
      </c>
      <c r="F80" s="59">
        <f>'2. Tulud-kulud projektiga'!F80-'3. Tulud-kulud projektita'!F80</f>
        <v>33934.356</v>
      </c>
      <c r="G80" s="59">
        <f>'2. Tulud-kulud projektiga'!G80-'3. Tulud-kulud projektita'!G80</f>
        <v>67868.712</v>
      </c>
      <c r="H80" s="59">
        <f>'2. Tulud-kulud projektiga'!H80-'3. Tulud-kulud projektita'!H80</f>
        <v>67868.712</v>
      </c>
      <c r="I80" s="59">
        <f>'2. Tulud-kulud projektiga'!I80-'3. Tulud-kulud projektita'!I80</f>
        <v>67868.712</v>
      </c>
      <c r="J80" s="59">
        <f>'2. Tulud-kulud projektiga'!J80-'3. Tulud-kulud projektita'!J80</f>
        <v>67868.712</v>
      </c>
      <c r="K80" s="59">
        <f>'2. Tulud-kulud projektiga'!K80-'3. Tulud-kulud projektita'!K80</f>
        <v>67868.712</v>
      </c>
      <c r="L80" s="59">
        <f>'2. Tulud-kulud projektiga'!L80-'3. Tulud-kulud projektita'!L80</f>
        <v>67868.712</v>
      </c>
      <c r="M80" s="59">
        <f>'2. Tulud-kulud projektiga'!M80-'3. Tulud-kulud projektita'!M80</f>
        <v>67868.712</v>
      </c>
      <c r="N80" s="59">
        <f>'2. Tulud-kulud projektiga'!N80-'3. Tulud-kulud projektita'!N80</f>
        <v>67868.712</v>
      </c>
      <c r="O80" s="59">
        <f>'2. Tulud-kulud projektiga'!O80-'3. Tulud-kulud projektita'!O80</f>
        <v>67868.712</v>
      </c>
      <c r="P80" s="59">
        <f>'2. Tulud-kulud projektiga'!P80-'3. Tulud-kulud projektita'!P80</f>
        <v>67868.712</v>
      </c>
      <c r="Q80" s="59">
        <f>'2. Tulud-kulud projektiga'!Q80-'3. Tulud-kulud projektita'!Q80</f>
        <v>67868.712</v>
      </c>
      <c r="R80" s="59">
        <f>'2. Tulud-kulud projektiga'!R80-'3. Tulud-kulud projektita'!R80</f>
        <v>67868.712</v>
      </c>
      <c r="S80" s="59">
        <f>'2. Tulud-kulud projektiga'!S80-'3. Tulud-kulud projektita'!S80</f>
        <v>67868.712</v>
      </c>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8"/>
      <c r="T81" s="16"/>
      <c r="U81" s="17"/>
    </row>
    <row r="82" spans="1:21" x14ac:dyDescent="0.35">
      <c r="A82" s="809" t="str">
        <f>'2. Tulud-kulud projektiga'!A82:A91</f>
        <v>Halduskulud</v>
      </c>
      <c r="B82" s="50" t="str">
        <f>'2. Tulud-kulud projektiga'!B82</f>
        <v>Küte</v>
      </c>
      <c r="C82" s="51" t="s">
        <v>3</v>
      </c>
      <c r="D82" s="11">
        <f>'2. Tulud-kulud projektiga'!D82-'3. Tulud-kulud projektita'!D82</f>
        <v>0</v>
      </c>
      <c r="E82" s="11">
        <f>'2. Tulud-kulud projektiga'!E82-'3. Tulud-kulud projektita'!E82</f>
        <v>0</v>
      </c>
      <c r="F82" s="11">
        <f>'2. Tulud-kulud projektiga'!F82-'3. Tulud-kulud projektita'!F82</f>
        <v>1574.2779765333335</v>
      </c>
      <c r="G82" s="11">
        <f>'2. Tulud-kulud projektiga'!G82-'3. Tulud-kulud projektita'!G82</f>
        <v>4722.8339296000004</v>
      </c>
      <c r="H82" s="11">
        <f>'2. Tulud-kulud projektiga'!H82-'3. Tulud-kulud projektita'!H82</f>
        <v>4722.8339296000004</v>
      </c>
      <c r="I82" s="11">
        <f>'2. Tulud-kulud projektiga'!I82-'3. Tulud-kulud projektita'!I82</f>
        <v>4722.8339296000013</v>
      </c>
      <c r="J82" s="11">
        <f>'2. Tulud-kulud projektiga'!J82-'3. Tulud-kulud projektita'!J82</f>
        <v>4722.8339296000013</v>
      </c>
      <c r="K82" s="11">
        <f>'2. Tulud-kulud projektiga'!K82-'3. Tulud-kulud projektita'!K82</f>
        <v>4722.8339296000013</v>
      </c>
      <c r="L82" s="11">
        <f>'2. Tulud-kulud projektiga'!L82-'3. Tulud-kulud projektita'!L82</f>
        <v>4722.8339296000013</v>
      </c>
      <c r="M82" s="11">
        <f>'2. Tulud-kulud projektiga'!M82-'3. Tulud-kulud projektita'!M82</f>
        <v>4722.8339296000004</v>
      </c>
      <c r="N82" s="11">
        <f>'2. Tulud-kulud projektiga'!N82-'3. Tulud-kulud projektita'!N82</f>
        <v>4722.8339296000004</v>
      </c>
      <c r="O82" s="11">
        <f>'2. Tulud-kulud projektiga'!O82-'3. Tulud-kulud projektita'!O82</f>
        <v>4722.8339296000004</v>
      </c>
      <c r="P82" s="11">
        <f>'2. Tulud-kulud projektiga'!P82-'3. Tulud-kulud projektita'!P82</f>
        <v>4722.8339296000004</v>
      </c>
      <c r="Q82" s="11">
        <f>'2. Tulud-kulud projektiga'!Q82-'3. Tulud-kulud projektita'!Q82</f>
        <v>4722.8339296000004</v>
      </c>
      <c r="R82" s="11">
        <f>'2. Tulud-kulud projektiga'!R82-'3. Tulud-kulud projektita'!R82</f>
        <v>4722.8339296000004</v>
      </c>
      <c r="S82" s="11">
        <f>'2. Tulud-kulud projektiga'!S82-'3. Tulud-kulud projektita'!S82</f>
        <v>4722.8339296000004</v>
      </c>
      <c r="T82" s="16"/>
      <c r="U82" s="17"/>
    </row>
    <row r="83" spans="1:21" x14ac:dyDescent="0.35">
      <c r="A83" s="809"/>
      <c r="B83" s="50" t="str">
        <f>'2. Tulud-kulud projektiga'!B83</f>
        <v>Elekter</v>
      </c>
      <c r="C83" s="51" t="s">
        <v>3</v>
      </c>
      <c r="D83" s="11">
        <f>'2. Tulud-kulud projektiga'!D83-'3. Tulud-kulud projektita'!D83</f>
        <v>0</v>
      </c>
      <c r="E83" s="11">
        <f>'2. Tulud-kulud projektiga'!E83-'3. Tulud-kulud projektita'!E83</f>
        <v>0</v>
      </c>
      <c r="F83" s="11">
        <f>'2. Tulud-kulud projektiga'!F83-'3. Tulud-kulud projektita'!F83</f>
        <v>257.08319999999998</v>
      </c>
      <c r="G83" s="11">
        <f>'2. Tulud-kulud projektiga'!G83-'3. Tulud-kulud projektita'!G83</f>
        <v>771.24959999999999</v>
      </c>
      <c r="H83" s="11">
        <f>'2. Tulud-kulud projektiga'!H83-'3. Tulud-kulud projektita'!H83</f>
        <v>771.24959999999999</v>
      </c>
      <c r="I83" s="11">
        <f>'2. Tulud-kulud projektiga'!I83-'3. Tulud-kulud projektita'!I83</f>
        <v>811.49760000000026</v>
      </c>
      <c r="J83" s="11">
        <f>'2. Tulud-kulud projektiga'!J83-'3. Tulud-kulud projektita'!J83</f>
        <v>811.49760000000026</v>
      </c>
      <c r="K83" s="11">
        <f>'2. Tulud-kulud projektiga'!K83-'3. Tulud-kulud projektita'!K83</f>
        <v>811.49760000000026</v>
      </c>
      <c r="L83" s="11">
        <f>'2. Tulud-kulud projektiga'!L83-'3. Tulud-kulud projektita'!L83</f>
        <v>811.49760000000026</v>
      </c>
      <c r="M83" s="11">
        <f>'2. Tulud-kulud projektiga'!M83-'3. Tulud-kulud projektita'!M83</f>
        <v>851.74559999999997</v>
      </c>
      <c r="N83" s="11">
        <f>'2. Tulud-kulud projektiga'!N83-'3. Tulud-kulud projektita'!N83</f>
        <v>851.74559999999997</v>
      </c>
      <c r="O83" s="11">
        <f>'2. Tulud-kulud projektiga'!O83-'3. Tulud-kulud projektita'!O83</f>
        <v>851.74559999999997</v>
      </c>
      <c r="P83" s="11">
        <f>'2. Tulud-kulud projektiga'!P83-'3. Tulud-kulud projektita'!P83</f>
        <v>851.74559999999997</v>
      </c>
      <c r="Q83" s="11">
        <f>'2. Tulud-kulud projektiga'!Q83-'3. Tulud-kulud projektita'!Q83</f>
        <v>851.74559999999997</v>
      </c>
      <c r="R83" s="11">
        <f>'2. Tulud-kulud projektiga'!R83-'3. Tulud-kulud projektita'!R83</f>
        <v>851.74559999999997</v>
      </c>
      <c r="S83" s="11">
        <f>'2. Tulud-kulud projektiga'!S83-'3. Tulud-kulud projektita'!S83</f>
        <v>851.74559999999997</v>
      </c>
      <c r="T83" s="16"/>
      <c r="U83" s="17"/>
    </row>
    <row r="84" spans="1:21" x14ac:dyDescent="0.35">
      <c r="A84" s="809"/>
      <c r="B84" s="50" t="str">
        <f>'2. Tulud-kulud projektiga'!B84</f>
        <v>Vesi ja kanalisatsioon</v>
      </c>
      <c r="C84" s="51" t="s">
        <v>3</v>
      </c>
      <c r="D84" s="11">
        <f>'2. Tulud-kulud projektiga'!D84-'3. Tulud-kulud projektita'!D84</f>
        <v>0</v>
      </c>
      <c r="E84" s="11">
        <f>'2. Tulud-kulud projektiga'!E84-'3. Tulud-kulud projektita'!E84</f>
        <v>0</v>
      </c>
      <c r="F84" s="11">
        <f>'2. Tulud-kulud projektiga'!F84-'3. Tulud-kulud projektita'!F84</f>
        <v>887.8936920000001</v>
      </c>
      <c r="G84" s="11">
        <f>'2. Tulud-kulud projektiga'!G84-'3. Tulud-kulud projektita'!G84</f>
        <v>2663.6810760000003</v>
      </c>
      <c r="H84" s="11">
        <f>'2. Tulud-kulud projektiga'!H84-'3. Tulud-kulud projektita'!H84</f>
        <v>2663.6810760000003</v>
      </c>
      <c r="I84" s="11">
        <f>'2. Tulud-kulud projektiga'!I84-'3. Tulud-kulud projektita'!I84</f>
        <v>2909.4957360000008</v>
      </c>
      <c r="J84" s="11">
        <f>'2. Tulud-kulud projektiga'!J84-'3. Tulud-kulud projektita'!J84</f>
        <v>2909.4957360000008</v>
      </c>
      <c r="K84" s="11">
        <f>'2. Tulud-kulud projektiga'!K84-'3. Tulud-kulud projektita'!K84</f>
        <v>2909.4957360000008</v>
      </c>
      <c r="L84" s="11">
        <f>'2. Tulud-kulud projektiga'!L84-'3. Tulud-kulud projektita'!L84</f>
        <v>2909.4957360000008</v>
      </c>
      <c r="M84" s="11">
        <f>'2. Tulud-kulud projektiga'!M84-'3. Tulud-kulud projektita'!M84</f>
        <v>3155.3103959999999</v>
      </c>
      <c r="N84" s="11">
        <f>'2. Tulud-kulud projektiga'!N84-'3. Tulud-kulud projektita'!N84</f>
        <v>3155.3103959999999</v>
      </c>
      <c r="O84" s="11">
        <f>'2. Tulud-kulud projektiga'!O84-'3. Tulud-kulud projektita'!O84</f>
        <v>3155.3103959999999</v>
      </c>
      <c r="P84" s="11">
        <f>'2. Tulud-kulud projektiga'!P84-'3. Tulud-kulud projektita'!P84</f>
        <v>3155.3103959999999</v>
      </c>
      <c r="Q84" s="11">
        <f>'2. Tulud-kulud projektiga'!Q84-'3. Tulud-kulud projektita'!Q84</f>
        <v>3155.3103959999999</v>
      </c>
      <c r="R84" s="11">
        <f>'2. Tulud-kulud projektiga'!R84-'3. Tulud-kulud projektita'!R84</f>
        <v>3155.3103959999999</v>
      </c>
      <c r="S84" s="11">
        <f>'2. Tulud-kulud projektiga'!S84-'3. Tulud-kulud projektita'!S84</f>
        <v>3155.3103959999999</v>
      </c>
      <c r="T84" s="16"/>
      <c r="U84" s="17"/>
    </row>
    <row r="85" spans="1:21" x14ac:dyDescent="0.35">
      <c r="A85" s="809"/>
      <c r="B85" s="50" t="str">
        <f>'2. Tulud-kulud projektiga'!B85</f>
        <v>Tehnohooldus</v>
      </c>
      <c r="C85" s="51" t="s">
        <v>3</v>
      </c>
      <c r="D85" s="11">
        <f>'2. Tulud-kulud projektiga'!D85-'3. Tulud-kulud projektita'!D85</f>
        <v>0</v>
      </c>
      <c r="E85" s="11">
        <f>'2. Tulud-kulud projektiga'!E85-'3. Tulud-kulud projektita'!E85</f>
        <v>0</v>
      </c>
      <c r="F85" s="11">
        <f>'2. Tulud-kulud projektiga'!F85-'3. Tulud-kulud projektita'!F85</f>
        <v>2800</v>
      </c>
      <c r="G85" s="11">
        <f>'2. Tulud-kulud projektiga'!G85-'3. Tulud-kulud projektita'!G85</f>
        <v>8400</v>
      </c>
      <c r="H85" s="11">
        <f>'2. Tulud-kulud projektiga'!H85-'3. Tulud-kulud projektita'!H85</f>
        <v>8400</v>
      </c>
      <c r="I85" s="11">
        <f>'2. Tulud-kulud projektiga'!I85-'3. Tulud-kulud projektita'!I85</f>
        <v>8400</v>
      </c>
      <c r="J85" s="11">
        <f>'2. Tulud-kulud projektiga'!J85-'3. Tulud-kulud projektita'!J85</f>
        <v>8400</v>
      </c>
      <c r="K85" s="11">
        <f>'2. Tulud-kulud projektiga'!K85-'3. Tulud-kulud projektita'!K85</f>
        <v>8400</v>
      </c>
      <c r="L85" s="11">
        <f>'2. Tulud-kulud projektiga'!L85-'3. Tulud-kulud projektita'!L85</f>
        <v>8400</v>
      </c>
      <c r="M85" s="11">
        <f>'2. Tulud-kulud projektiga'!M85-'3. Tulud-kulud projektita'!M85</f>
        <v>8400</v>
      </c>
      <c r="N85" s="11">
        <f>'2. Tulud-kulud projektiga'!N85-'3. Tulud-kulud projektita'!N85</f>
        <v>8400</v>
      </c>
      <c r="O85" s="11">
        <f>'2. Tulud-kulud projektiga'!O85-'3. Tulud-kulud projektita'!O85</f>
        <v>8400</v>
      </c>
      <c r="P85" s="11">
        <f>'2. Tulud-kulud projektiga'!P85-'3. Tulud-kulud projektita'!P85</f>
        <v>8400</v>
      </c>
      <c r="Q85" s="11">
        <f>'2. Tulud-kulud projektiga'!Q85-'3. Tulud-kulud projektita'!Q85</f>
        <v>8400</v>
      </c>
      <c r="R85" s="11">
        <f>'2. Tulud-kulud projektiga'!R85-'3. Tulud-kulud projektita'!R85</f>
        <v>8400</v>
      </c>
      <c r="S85" s="11">
        <f>'2. Tulud-kulud projektiga'!S85-'3. Tulud-kulud projektita'!S85</f>
        <v>8400</v>
      </c>
      <c r="T85" s="16"/>
      <c r="U85" s="17"/>
    </row>
    <row r="86" spans="1:21" x14ac:dyDescent="0.35">
      <c r="A86" s="809"/>
      <c r="B86" s="50" t="str">
        <f>'2. Tulud-kulud projektiga'!B86</f>
        <v>Hooldus (hooned)</v>
      </c>
      <c r="C86" s="51" t="s">
        <v>3</v>
      </c>
      <c r="D86" s="11">
        <f>'2. Tulud-kulud projektiga'!D86-'3. Tulud-kulud projektita'!D86</f>
        <v>0</v>
      </c>
      <c r="E86" s="11">
        <f>'2. Tulud-kulud projektiga'!E86-'3. Tulud-kulud projektita'!E86</f>
        <v>0</v>
      </c>
      <c r="F86" s="11">
        <f>'2. Tulud-kulud projektiga'!F86-'3. Tulud-kulud projektita'!F86</f>
        <v>3040</v>
      </c>
      <c r="G86" s="11">
        <f>'2. Tulud-kulud projektiga'!G86-'3. Tulud-kulud projektita'!G86</f>
        <v>9120</v>
      </c>
      <c r="H86" s="11">
        <f>'2. Tulud-kulud projektiga'!H86-'3. Tulud-kulud projektita'!H86</f>
        <v>9120</v>
      </c>
      <c r="I86" s="11">
        <f>'2. Tulud-kulud projektiga'!I86-'3. Tulud-kulud projektita'!I86</f>
        <v>9120</v>
      </c>
      <c r="J86" s="11">
        <f>'2. Tulud-kulud projektiga'!J86-'3. Tulud-kulud projektita'!J86</f>
        <v>9120</v>
      </c>
      <c r="K86" s="11">
        <f>'2. Tulud-kulud projektiga'!K86-'3. Tulud-kulud projektita'!K86</f>
        <v>9120</v>
      </c>
      <c r="L86" s="11">
        <f>'2. Tulud-kulud projektiga'!L86-'3. Tulud-kulud projektita'!L86</f>
        <v>9120</v>
      </c>
      <c r="M86" s="11">
        <f>'2. Tulud-kulud projektiga'!M86-'3. Tulud-kulud projektita'!M86</f>
        <v>9120</v>
      </c>
      <c r="N86" s="11">
        <f>'2. Tulud-kulud projektiga'!N86-'3. Tulud-kulud projektita'!N86</f>
        <v>9120</v>
      </c>
      <c r="O86" s="11">
        <f>'2. Tulud-kulud projektiga'!O86-'3. Tulud-kulud projektita'!O86</f>
        <v>9120</v>
      </c>
      <c r="P86" s="11">
        <f>'2. Tulud-kulud projektiga'!P86-'3. Tulud-kulud projektita'!P86</f>
        <v>9120</v>
      </c>
      <c r="Q86" s="11">
        <f>'2. Tulud-kulud projektiga'!Q86-'3. Tulud-kulud projektita'!Q86</f>
        <v>9120</v>
      </c>
      <c r="R86" s="11">
        <f>'2. Tulud-kulud projektiga'!R86-'3. Tulud-kulud projektita'!R86</f>
        <v>9120</v>
      </c>
      <c r="S86" s="11">
        <f>'2. Tulud-kulud projektiga'!S86-'3. Tulud-kulud projektita'!S86</f>
        <v>9120</v>
      </c>
      <c r="T86" s="16"/>
      <c r="U86" s="17"/>
    </row>
    <row r="87" spans="1:21" x14ac:dyDescent="0.35">
      <c r="A87" s="809"/>
      <c r="B87" s="50" t="str">
        <f>'2. Tulud-kulud projektiga'!B87</f>
        <v>Hooldus (territoorium)</v>
      </c>
      <c r="C87" s="51" t="s">
        <v>3</v>
      </c>
      <c r="D87" s="11">
        <f>'2. Tulud-kulud projektiga'!D87-'3. Tulud-kulud projektita'!D87</f>
        <v>0</v>
      </c>
      <c r="E87" s="11">
        <f>'2. Tulud-kulud projektiga'!E87-'3. Tulud-kulud projektita'!E87</f>
        <v>0</v>
      </c>
      <c r="F87" s="11">
        <f>'2. Tulud-kulud projektiga'!F87-'3. Tulud-kulud projektita'!F87</f>
        <v>2155.6666666666665</v>
      </c>
      <c r="G87" s="11">
        <f>'2. Tulud-kulud projektiga'!G87-'3. Tulud-kulud projektita'!G87</f>
        <v>6467</v>
      </c>
      <c r="H87" s="11">
        <f>'2. Tulud-kulud projektiga'!H87-'3. Tulud-kulud projektita'!H87</f>
        <v>6467</v>
      </c>
      <c r="I87" s="11">
        <f>'2. Tulud-kulud projektiga'!I87-'3. Tulud-kulud projektita'!I87</f>
        <v>6467</v>
      </c>
      <c r="J87" s="11">
        <f>'2. Tulud-kulud projektiga'!J87-'3. Tulud-kulud projektita'!J87</f>
        <v>6467</v>
      </c>
      <c r="K87" s="11">
        <f>'2. Tulud-kulud projektiga'!K87-'3. Tulud-kulud projektita'!K87</f>
        <v>6467</v>
      </c>
      <c r="L87" s="11">
        <f>'2. Tulud-kulud projektiga'!L87-'3. Tulud-kulud projektita'!L87</f>
        <v>6467</v>
      </c>
      <c r="M87" s="11">
        <f>'2. Tulud-kulud projektiga'!M87-'3. Tulud-kulud projektita'!M87</f>
        <v>6467</v>
      </c>
      <c r="N87" s="11">
        <f>'2. Tulud-kulud projektiga'!N87-'3. Tulud-kulud projektita'!N87</f>
        <v>6467</v>
      </c>
      <c r="O87" s="11">
        <f>'2. Tulud-kulud projektiga'!O87-'3. Tulud-kulud projektita'!O87</f>
        <v>6467</v>
      </c>
      <c r="P87" s="11">
        <f>'2. Tulud-kulud projektiga'!P87-'3. Tulud-kulud projektita'!P87</f>
        <v>6467</v>
      </c>
      <c r="Q87" s="11">
        <f>'2. Tulud-kulud projektiga'!Q87-'3. Tulud-kulud projektita'!Q87</f>
        <v>6467</v>
      </c>
      <c r="R87" s="11">
        <f>'2. Tulud-kulud projektiga'!R87-'3. Tulud-kulud projektita'!R87</f>
        <v>6467</v>
      </c>
      <c r="S87" s="11">
        <f>'2. Tulud-kulud projektiga'!S87-'3. Tulud-kulud projektita'!S87</f>
        <v>6467</v>
      </c>
      <c r="T87" s="16"/>
      <c r="U87" s="17"/>
    </row>
    <row r="88" spans="1:21" hidden="1" x14ac:dyDescent="0.35">
      <c r="A88" s="809"/>
      <c r="B88" s="50" t="str">
        <f>'2. Tulud-kulud projektiga'!B88</f>
        <v>Halduskulu 7</v>
      </c>
      <c r="C88" s="51" t="s">
        <v>3</v>
      </c>
      <c r="D88" s="11">
        <f>'2. Tulud-kulud projektiga'!D88-'3. Tulud-kulud projektita'!D88</f>
        <v>0</v>
      </c>
      <c r="E88" s="11">
        <f>'2. Tulud-kulud projektiga'!E88-'3. Tulud-kulud projektita'!E88</f>
        <v>0</v>
      </c>
      <c r="F88" s="11">
        <f>'2. Tulud-kulud projektiga'!F88-'3. Tulud-kulud projektita'!F88</f>
        <v>0</v>
      </c>
      <c r="G88" s="11">
        <f>'2. Tulud-kulud projektiga'!G88-'3. Tulud-kulud projektita'!G88</f>
        <v>0</v>
      </c>
      <c r="H88" s="11">
        <f>'2. Tulud-kulud projektiga'!H88-'3. Tulud-kulud projektita'!H88</f>
        <v>0</v>
      </c>
      <c r="I88" s="11">
        <f>'2. Tulud-kulud projektiga'!I88-'3. Tulud-kulud projektita'!I88</f>
        <v>0</v>
      </c>
      <c r="J88" s="11">
        <f>'2. Tulud-kulud projektiga'!J88-'3. Tulud-kulud projektita'!J88</f>
        <v>0</v>
      </c>
      <c r="K88" s="11">
        <f>'2. Tulud-kulud projektiga'!K88-'3. Tulud-kulud projektita'!K88</f>
        <v>0</v>
      </c>
      <c r="L88" s="11">
        <f>'2. Tulud-kulud projektiga'!L88-'3. Tulud-kulud projektita'!L88</f>
        <v>0</v>
      </c>
      <c r="M88" s="11">
        <f>'2. Tulud-kulud projektiga'!M88-'3. Tulud-kulud projektita'!M88</f>
        <v>0</v>
      </c>
      <c r="N88" s="11">
        <f>'2. Tulud-kulud projektiga'!N88-'3. Tulud-kulud projektita'!N88</f>
        <v>0</v>
      </c>
      <c r="O88" s="11">
        <f>'2. Tulud-kulud projektiga'!O88-'3. Tulud-kulud projektita'!O88</f>
        <v>0</v>
      </c>
      <c r="P88" s="11">
        <f>'2. Tulud-kulud projektiga'!P88-'3. Tulud-kulud projektita'!P88</f>
        <v>0</v>
      </c>
      <c r="Q88" s="11">
        <f>'2. Tulud-kulud projektiga'!Q88-'3. Tulud-kulud projektita'!Q88</f>
        <v>0</v>
      </c>
      <c r="R88" s="11">
        <f>'2. Tulud-kulud projektiga'!R88-'3. Tulud-kulud projektita'!R88</f>
        <v>0</v>
      </c>
      <c r="S88" s="11">
        <f>'2. Tulud-kulud projektiga'!S88-'3. Tulud-kulud projektita'!S88</f>
        <v>0</v>
      </c>
      <c r="T88" s="16"/>
      <c r="U88" s="17"/>
    </row>
    <row r="89" spans="1:21" hidden="1" x14ac:dyDescent="0.35">
      <c r="A89" s="809"/>
      <c r="B89" s="50" t="str">
        <f>'2. Tulud-kulud projektiga'!B89</f>
        <v>Halduskulu 8</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1">
        <f>'2. Tulud-kulud projektiga'!S89-'3. Tulud-kulud projektita'!S89</f>
        <v>0</v>
      </c>
      <c r="T89" s="16"/>
      <c r="U89" s="17"/>
    </row>
    <row r="90" spans="1:21" hidden="1" x14ac:dyDescent="0.35">
      <c r="A90" s="809"/>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1">
        <f>'2. Tulud-kulud projektiga'!S90-'3. Tulud-kulud projektita'!S90</f>
        <v>0</v>
      </c>
      <c r="T90" s="16"/>
      <c r="U90" s="17"/>
    </row>
    <row r="91" spans="1:21" hidden="1" x14ac:dyDescent="0.35">
      <c r="A91" s="809"/>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1">
        <f>'2. Tulud-kulud projektiga'!S91-'3. Tulud-kulud projektita'!S91</f>
        <v>0</v>
      </c>
      <c r="T91" s="16"/>
      <c r="U91" s="17"/>
    </row>
    <row r="92" spans="1:21" x14ac:dyDescent="0.35">
      <c r="A92" s="799" t="str">
        <f>'2. Tulud-kulud projektiga'!A92:B92</f>
        <v>Halduskulud kokku</v>
      </c>
      <c r="B92" s="800"/>
      <c r="C92" s="49"/>
      <c r="D92" s="59">
        <f>'2. Tulud-kulud projektiga'!D92-'3. Tulud-kulud projektita'!D92</f>
        <v>0</v>
      </c>
      <c r="E92" s="59">
        <f>'2. Tulud-kulud projektiga'!E92-'3. Tulud-kulud projektita'!E92</f>
        <v>0</v>
      </c>
      <c r="F92" s="59">
        <f>'2. Tulud-kulud projektiga'!F92-'3. Tulud-kulud projektita'!F92</f>
        <v>10714.921535199999</v>
      </c>
      <c r="G92" s="59">
        <f>'2. Tulud-kulud projektiga'!G92-'3. Tulud-kulud projektita'!G92</f>
        <v>32144.764605600001</v>
      </c>
      <c r="H92" s="59">
        <f>'2. Tulud-kulud projektiga'!H92-'3. Tulud-kulud projektita'!H92</f>
        <v>32144.764605600001</v>
      </c>
      <c r="I92" s="59">
        <f>'2. Tulud-kulud projektiga'!I92-'3. Tulud-kulud projektita'!I92</f>
        <v>32430.827265600004</v>
      </c>
      <c r="J92" s="59">
        <f>'2. Tulud-kulud projektiga'!J92-'3. Tulud-kulud projektita'!J92</f>
        <v>32430.827265600004</v>
      </c>
      <c r="K92" s="59">
        <f>'2. Tulud-kulud projektiga'!K92-'3. Tulud-kulud projektita'!K92</f>
        <v>32430.827265600004</v>
      </c>
      <c r="L92" s="59">
        <f>'2. Tulud-kulud projektiga'!L92-'3. Tulud-kulud projektita'!L92</f>
        <v>32430.827265600004</v>
      </c>
      <c r="M92" s="59">
        <f>'2. Tulud-kulud projektiga'!M92-'3. Tulud-kulud projektita'!M92</f>
        <v>32716.8899256</v>
      </c>
      <c r="N92" s="59">
        <f>'2. Tulud-kulud projektiga'!N92-'3. Tulud-kulud projektita'!N92</f>
        <v>32716.8899256</v>
      </c>
      <c r="O92" s="59">
        <f>'2. Tulud-kulud projektiga'!O92-'3. Tulud-kulud projektita'!O92</f>
        <v>32716.8899256</v>
      </c>
      <c r="P92" s="59">
        <f>'2. Tulud-kulud projektiga'!P92-'3. Tulud-kulud projektita'!P92</f>
        <v>32716.8899256</v>
      </c>
      <c r="Q92" s="59">
        <f>'2. Tulud-kulud projektiga'!Q92-'3. Tulud-kulud projektita'!Q92</f>
        <v>32716.8899256</v>
      </c>
      <c r="R92" s="59">
        <f>'2. Tulud-kulud projektiga'!R92-'3. Tulud-kulud projektita'!R92</f>
        <v>32716.8899256</v>
      </c>
      <c r="S92" s="59">
        <f>'2. Tulud-kulud projektiga'!S92-'3. Tulud-kulud projektita'!S92</f>
        <v>32716.8899256</v>
      </c>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8"/>
      <c r="T93" s="16"/>
      <c r="U93" s="17"/>
    </row>
    <row r="94" spans="1:21" x14ac:dyDescent="0.35">
      <c r="A94" s="810" t="str">
        <f>'2. Tulud-kulud projektiga'!A94:A103</f>
        <v>Turunduskulud</v>
      </c>
      <c r="B94" s="50" t="str">
        <f>'2. Tulud-kulud projektiga'!B94</f>
        <v>Turundus</v>
      </c>
      <c r="C94" s="51" t="s">
        <v>3</v>
      </c>
      <c r="D94" s="11">
        <f>'2. Tulud-kulud projektiga'!D94-'3. Tulud-kulud projektita'!D94</f>
        <v>0</v>
      </c>
      <c r="E94" s="11">
        <f>'2. Tulud-kulud projektiga'!E94-'3. Tulud-kulud projektita'!E94</f>
        <v>0</v>
      </c>
      <c r="F94" s="11">
        <f>'2. Tulud-kulud projektiga'!F94-'3. Tulud-kulud projektita'!F94</f>
        <v>12000</v>
      </c>
      <c r="G94" s="11">
        <f>'2. Tulud-kulud projektiga'!G94-'3. Tulud-kulud projektita'!G94</f>
        <v>36000</v>
      </c>
      <c r="H94" s="11">
        <f>'2. Tulud-kulud projektiga'!H94-'3. Tulud-kulud projektita'!H94</f>
        <v>36000</v>
      </c>
      <c r="I94" s="11">
        <f>'2. Tulud-kulud projektiga'!I94-'3. Tulud-kulud projektita'!I94</f>
        <v>36000</v>
      </c>
      <c r="J94" s="11">
        <f>'2. Tulud-kulud projektiga'!J94-'3. Tulud-kulud projektita'!J94</f>
        <v>36000</v>
      </c>
      <c r="K94" s="11">
        <f>'2. Tulud-kulud projektiga'!K94-'3. Tulud-kulud projektita'!K94</f>
        <v>36000</v>
      </c>
      <c r="L94" s="11">
        <f>'2. Tulud-kulud projektiga'!L94-'3. Tulud-kulud projektita'!L94</f>
        <v>36000</v>
      </c>
      <c r="M94" s="11">
        <f>'2. Tulud-kulud projektiga'!M94-'3. Tulud-kulud projektita'!M94</f>
        <v>31000</v>
      </c>
      <c r="N94" s="11">
        <f>'2. Tulud-kulud projektiga'!N94-'3. Tulud-kulud projektita'!N94</f>
        <v>31000</v>
      </c>
      <c r="O94" s="11">
        <f>'2. Tulud-kulud projektiga'!O94-'3. Tulud-kulud projektita'!O94</f>
        <v>31000</v>
      </c>
      <c r="P94" s="11">
        <f>'2. Tulud-kulud projektiga'!P94-'3. Tulud-kulud projektita'!P94</f>
        <v>31000</v>
      </c>
      <c r="Q94" s="11">
        <f>'2. Tulud-kulud projektiga'!Q94-'3. Tulud-kulud projektita'!Q94</f>
        <v>31000</v>
      </c>
      <c r="R94" s="11">
        <f>'2. Tulud-kulud projektiga'!R94-'3. Tulud-kulud projektita'!R94</f>
        <v>31000</v>
      </c>
      <c r="S94" s="11">
        <f>'2. Tulud-kulud projektiga'!S94-'3. Tulud-kulud projektita'!S94</f>
        <v>31000</v>
      </c>
      <c r="T94" s="16"/>
      <c r="U94" s="17"/>
    </row>
    <row r="95" spans="1:21" hidden="1" x14ac:dyDescent="0.35">
      <c r="A95" s="811"/>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1">
        <f>'2. Tulud-kulud projektiga'!S95-'3. Tulud-kulud projektita'!S95</f>
        <v>0</v>
      </c>
      <c r="T95" s="16"/>
      <c r="U95" s="17"/>
    </row>
    <row r="96" spans="1:21" hidden="1" x14ac:dyDescent="0.35">
      <c r="A96" s="811"/>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1">
        <f>'2. Tulud-kulud projektiga'!S96-'3. Tulud-kulud projektita'!S96</f>
        <v>0</v>
      </c>
      <c r="T96" s="16"/>
      <c r="U96" s="17"/>
    </row>
    <row r="97" spans="1:21" hidden="1" x14ac:dyDescent="0.35">
      <c r="A97" s="811"/>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1">
        <f>'2. Tulud-kulud projektiga'!S97-'3. Tulud-kulud projektita'!S97</f>
        <v>0</v>
      </c>
      <c r="T97" s="16"/>
      <c r="U97" s="17"/>
    </row>
    <row r="98" spans="1:21" hidden="1" x14ac:dyDescent="0.35">
      <c r="A98" s="811"/>
      <c r="B98" s="50">
        <f>'2. Tulud-kulud projektiga'!B98</f>
        <v>0</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1">
        <f>'2. Tulud-kulud projektiga'!S98-'3. Tulud-kulud projektita'!S98</f>
        <v>0</v>
      </c>
      <c r="T98" s="16"/>
      <c r="U98" s="17"/>
    </row>
    <row r="99" spans="1:21" hidden="1" outlineLevel="1" x14ac:dyDescent="0.35">
      <c r="A99" s="811"/>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1">
        <f>'2. Tulud-kulud projektiga'!S99-'3. Tulud-kulud projektita'!S99</f>
        <v>0</v>
      </c>
      <c r="T99" s="16"/>
      <c r="U99" s="17"/>
    </row>
    <row r="100" spans="1:21" hidden="1" outlineLevel="1" x14ac:dyDescent="0.35">
      <c r="A100" s="811"/>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1">
        <f>'2. Tulud-kulud projektiga'!S100-'3. Tulud-kulud projektita'!S100</f>
        <v>0</v>
      </c>
      <c r="T100" s="16"/>
      <c r="U100" s="17"/>
    </row>
    <row r="101" spans="1:21" hidden="1" outlineLevel="1" x14ac:dyDescent="0.35">
      <c r="A101" s="811"/>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1">
        <f>'2. Tulud-kulud projektiga'!S101-'3. Tulud-kulud projektita'!S101</f>
        <v>0</v>
      </c>
      <c r="T101" s="16"/>
      <c r="U101" s="17"/>
    </row>
    <row r="102" spans="1:21" hidden="1" outlineLevel="1" x14ac:dyDescent="0.35">
      <c r="A102" s="811"/>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1">
        <f>'2. Tulud-kulud projektiga'!S102-'3. Tulud-kulud projektita'!S102</f>
        <v>0</v>
      </c>
      <c r="T102" s="16"/>
      <c r="U102" s="17"/>
    </row>
    <row r="103" spans="1:21" hidden="1" outlineLevel="1" x14ac:dyDescent="0.35">
      <c r="A103" s="812"/>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1">
        <f>'2. Tulud-kulud projektiga'!S103-'3. Tulud-kulud projektita'!S103</f>
        <v>0</v>
      </c>
      <c r="T103" s="16"/>
      <c r="U103" s="17"/>
    </row>
    <row r="104" spans="1:21" s="2" customFormat="1" collapsed="1" x14ac:dyDescent="0.35">
      <c r="A104" s="799" t="str">
        <f>'2. Tulud-kulud projektiga'!A104:B104</f>
        <v>Turunduskulud kokku</v>
      </c>
      <c r="B104" s="800"/>
      <c r="C104" s="49"/>
      <c r="D104" s="59">
        <f>'2. Tulud-kulud projektiga'!D104-'3. Tulud-kulud projektita'!D104</f>
        <v>0</v>
      </c>
      <c r="E104" s="59">
        <f>'2. Tulud-kulud projektiga'!E104-'3. Tulud-kulud projektita'!E104</f>
        <v>0</v>
      </c>
      <c r="F104" s="59">
        <f>'2. Tulud-kulud projektiga'!F104-'3. Tulud-kulud projektita'!F104</f>
        <v>12000</v>
      </c>
      <c r="G104" s="59">
        <f>'2. Tulud-kulud projektiga'!G104-'3. Tulud-kulud projektita'!G104</f>
        <v>36000</v>
      </c>
      <c r="H104" s="59">
        <f>'2. Tulud-kulud projektiga'!H104-'3. Tulud-kulud projektita'!H104</f>
        <v>36000</v>
      </c>
      <c r="I104" s="59">
        <f>'2. Tulud-kulud projektiga'!I104-'3. Tulud-kulud projektita'!I104</f>
        <v>36000</v>
      </c>
      <c r="J104" s="59">
        <f>'2. Tulud-kulud projektiga'!J104-'3. Tulud-kulud projektita'!J104</f>
        <v>36000</v>
      </c>
      <c r="K104" s="59">
        <f>'2. Tulud-kulud projektiga'!K104-'3. Tulud-kulud projektita'!K104</f>
        <v>36000</v>
      </c>
      <c r="L104" s="59">
        <f>'2. Tulud-kulud projektiga'!L104-'3. Tulud-kulud projektita'!L104</f>
        <v>36000</v>
      </c>
      <c r="M104" s="59">
        <f>'2. Tulud-kulud projektiga'!M104-'3. Tulud-kulud projektita'!M104</f>
        <v>31000</v>
      </c>
      <c r="N104" s="59">
        <f>'2. Tulud-kulud projektiga'!N104-'3. Tulud-kulud projektita'!N104</f>
        <v>31000</v>
      </c>
      <c r="O104" s="59">
        <f>'2. Tulud-kulud projektiga'!O104-'3. Tulud-kulud projektita'!O104</f>
        <v>31000</v>
      </c>
      <c r="P104" s="59">
        <f>'2. Tulud-kulud projektiga'!P104-'3. Tulud-kulud projektita'!P104</f>
        <v>31000</v>
      </c>
      <c r="Q104" s="59">
        <f>'2. Tulud-kulud projektiga'!Q104-'3. Tulud-kulud projektita'!Q104</f>
        <v>31000</v>
      </c>
      <c r="R104" s="59">
        <f>'2. Tulud-kulud projektiga'!R104-'3. Tulud-kulud projektita'!R104</f>
        <v>31000</v>
      </c>
      <c r="S104" s="59">
        <f>'2. Tulud-kulud projektiga'!S104-'3. Tulud-kulud projektita'!S104</f>
        <v>31000</v>
      </c>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8"/>
      <c r="T105" s="16"/>
      <c r="U105" s="17"/>
    </row>
    <row r="106" spans="1:21" ht="16.5" customHeight="1" x14ac:dyDescent="0.35">
      <c r="A106" s="798" t="str">
        <f>'2. Tulud-kulud projektiga'!A106:B106</f>
        <v>Remonditööd</v>
      </c>
      <c r="B106" s="798"/>
      <c r="C106" s="51" t="s">
        <v>3</v>
      </c>
      <c r="D106" s="11">
        <f>'2. Tulud-kulud projektiga'!D106-'3. Tulud-kulud projektita'!D106</f>
        <v>0</v>
      </c>
      <c r="E106" s="11">
        <f>'2. Tulud-kulud projektiga'!E106-'3. Tulud-kulud projektita'!E106</f>
        <v>0</v>
      </c>
      <c r="F106" s="11">
        <f>'2. Tulud-kulud projektiga'!F106-'3. Tulud-kulud projektita'!F106</f>
        <v>1800</v>
      </c>
      <c r="G106" s="11">
        <f>'2. Tulud-kulud projektiga'!G106-'3. Tulud-kulud projektita'!G106</f>
        <v>5400</v>
      </c>
      <c r="H106" s="11">
        <f>'2. Tulud-kulud projektiga'!H106-'3. Tulud-kulud projektita'!H106</f>
        <v>5400</v>
      </c>
      <c r="I106" s="11">
        <f>'2. Tulud-kulud projektiga'!I106-'3. Tulud-kulud projektita'!I106</f>
        <v>5400</v>
      </c>
      <c r="J106" s="11">
        <f>'2. Tulud-kulud projektiga'!J106-'3. Tulud-kulud projektita'!J106</f>
        <v>5400</v>
      </c>
      <c r="K106" s="11">
        <f>'2. Tulud-kulud projektiga'!K106-'3. Tulud-kulud projektita'!K106</f>
        <v>5400</v>
      </c>
      <c r="L106" s="11">
        <f>'2. Tulud-kulud projektiga'!L106-'3. Tulud-kulud projektita'!L106</f>
        <v>5400</v>
      </c>
      <c r="M106" s="11">
        <f>'2. Tulud-kulud projektiga'!M106-'3. Tulud-kulud projektita'!M106</f>
        <v>5400</v>
      </c>
      <c r="N106" s="11">
        <f>'2. Tulud-kulud projektiga'!N106-'3. Tulud-kulud projektita'!N106</f>
        <v>5400</v>
      </c>
      <c r="O106" s="11">
        <f>'2. Tulud-kulud projektiga'!O106-'3. Tulud-kulud projektita'!O106</f>
        <v>5400</v>
      </c>
      <c r="P106" s="11">
        <f>'2. Tulud-kulud projektiga'!P106-'3. Tulud-kulud projektita'!P106</f>
        <v>5400</v>
      </c>
      <c r="Q106" s="11">
        <f>'2. Tulud-kulud projektiga'!Q106-'3. Tulud-kulud projektita'!Q106</f>
        <v>5400</v>
      </c>
      <c r="R106" s="11">
        <f>'2. Tulud-kulud projektiga'!R106-'3. Tulud-kulud projektita'!R106</f>
        <v>5400</v>
      </c>
      <c r="S106" s="11">
        <f>'2. Tulud-kulud projektiga'!S106-'3. Tulud-kulud projektita'!S106</f>
        <v>5400</v>
      </c>
      <c r="T106" s="16"/>
      <c r="U106" s="17"/>
    </row>
    <row r="107" spans="1:21" ht="16.5" customHeight="1" x14ac:dyDescent="0.35">
      <c r="A107" s="798" t="str">
        <f>'2. Tulud-kulud projektiga'!A107:B107</f>
        <v>Valve</v>
      </c>
      <c r="B107" s="798"/>
      <c r="C107" s="51" t="s">
        <v>3</v>
      </c>
      <c r="D107" s="11">
        <f>'2. Tulud-kulud projektiga'!D107-'3. Tulud-kulud projektita'!D107</f>
        <v>0</v>
      </c>
      <c r="E107" s="11">
        <f>'2. Tulud-kulud projektiga'!E107-'3. Tulud-kulud projektita'!E107</f>
        <v>0</v>
      </c>
      <c r="F107" s="11">
        <f>'2. Tulud-kulud projektiga'!F107-'3. Tulud-kulud projektita'!F107</f>
        <v>1600</v>
      </c>
      <c r="G107" s="11">
        <f>'2. Tulud-kulud projektiga'!G107-'3. Tulud-kulud projektita'!G107</f>
        <v>4800</v>
      </c>
      <c r="H107" s="11">
        <f>'2. Tulud-kulud projektiga'!H107-'3. Tulud-kulud projektita'!H107</f>
        <v>4800</v>
      </c>
      <c r="I107" s="11">
        <f>'2. Tulud-kulud projektiga'!I107-'3. Tulud-kulud projektita'!I107</f>
        <v>4800</v>
      </c>
      <c r="J107" s="11">
        <f>'2. Tulud-kulud projektiga'!J107-'3. Tulud-kulud projektita'!J107</f>
        <v>4800</v>
      </c>
      <c r="K107" s="11">
        <f>'2. Tulud-kulud projektiga'!K107-'3. Tulud-kulud projektita'!K107</f>
        <v>4800</v>
      </c>
      <c r="L107" s="11">
        <f>'2. Tulud-kulud projektiga'!L107-'3. Tulud-kulud projektita'!L107</f>
        <v>4800</v>
      </c>
      <c r="M107" s="11">
        <f>'2. Tulud-kulud projektiga'!M107-'3. Tulud-kulud projektita'!M107</f>
        <v>4800</v>
      </c>
      <c r="N107" s="11">
        <f>'2. Tulud-kulud projektiga'!N107-'3. Tulud-kulud projektita'!N107</f>
        <v>4800</v>
      </c>
      <c r="O107" s="11">
        <f>'2. Tulud-kulud projektiga'!O107-'3. Tulud-kulud projektita'!O107</f>
        <v>4800</v>
      </c>
      <c r="P107" s="11">
        <f>'2. Tulud-kulud projektiga'!P107-'3. Tulud-kulud projektita'!P107</f>
        <v>4800</v>
      </c>
      <c r="Q107" s="11">
        <f>'2. Tulud-kulud projektiga'!Q107-'3. Tulud-kulud projektita'!Q107</f>
        <v>4800</v>
      </c>
      <c r="R107" s="11">
        <f>'2. Tulud-kulud projektiga'!R107-'3. Tulud-kulud projektita'!R107</f>
        <v>4800</v>
      </c>
      <c r="S107" s="11">
        <f>'2. Tulud-kulud projektiga'!S107-'3. Tulud-kulud projektita'!S107</f>
        <v>4800</v>
      </c>
      <c r="T107" s="16"/>
      <c r="U107" s="17"/>
    </row>
    <row r="108" spans="1:21" ht="16.5" customHeight="1" x14ac:dyDescent="0.35">
      <c r="A108" s="798" t="str">
        <f>'2. Tulud-kulud projektiga'!A108:B108</f>
        <v>Kindlustus</v>
      </c>
      <c r="B108" s="798"/>
      <c r="C108" s="51" t="s">
        <v>3</v>
      </c>
      <c r="D108" s="11">
        <f>'2. Tulud-kulud projektiga'!D108-'3. Tulud-kulud projektita'!D108</f>
        <v>0</v>
      </c>
      <c r="E108" s="11">
        <f>'2. Tulud-kulud projektiga'!E108-'3. Tulud-kulud projektita'!E108</f>
        <v>0</v>
      </c>
      <c r="F108" s="11">
        <f>'2. Tulud-kulud projektiga'!F108-'3. Tulud-kulud projektita'!F108</f>
        <v>1736.1288333333334</v>
      </c>
      <c r="G108" s="11">
        <f>'2. Tulud-kulud projektiga'!G108-'3. Tulud-kulud projektita'!G108</f>
        <v>5208.3865000000005</v>
      </c>
      <c r="H108" s="11">
        <f>'2. Tulud-kulud projektiga'!H108-'3. Tulud-kulud projektita'!H108</f>
        <v>5208.3865000000005</v>
      </c>
      <c r="I108" s="11">
        <f>'2. Tulud-kulud projektiga'!I108-'3. Tulud-kulud projektita'!I108</f>
        <v>5042.6545000000006</v>
      </c>
      <c r="J108" s="11">
        <f>'2. Tulud-kulud projektiga'!J108-'3. Tulud-kulud projektita'!J108</f>
        <v>5042.6545000000006</v>
      </c>
      <c r="K108" s="11">
        <f>'2. Tulud-kulud projektiga'!K108-'3. Tulud-kulud projektita'!K108</f>
        <v>5042.6545000000006</v>
      </c>
      <c r="L108" s="11">
        <f>'2. Tulud-kulud projektiga'!L108-'3. Tulud-kulud projektita'!L108</f>
        <v>5042.6545000000006</v>
      </c>
      <c r="M108" s="11">
        <f>'2. Tulud-kulud projektiga'!M108-'3. Tulud-kulud projektita'!M108</f>
        <v>5208.3865000000005</v>
      </c>
      <c r="N108" s="11">
        <f>'2. Tulud-kulud projektiga'!N108-'3. Tulud-kulud projektita'!N108</f>
        <v>5208.3865000000005</v>
      </c>
      <c r="O108" s="11">
        <f>'2. Tulud-kulud projektiga'!O108-'3. Tulud-kulud projektita'!O108</f>
        <v>5208.3865000000005</v>
      </c>
      <c r="P108" s="11">
        <f>'2. Tulud-kulud projektiga'!P108-'3. Tulud-kulud projektita'!P108</f>
        <v>5208.3865000000005</v>
      </c>
      <c r="Q108" s="11">
        <f>'2. Tulud-kulud projektiga'!Q108-'3. Tulud-kulud projektita'!Q108</f>
        <v>5208.3865000000005</v>
      </c>
      <c r="R108" s="11">
        <f>'2. Tulud-kulud projektiga'!R108-'3. Tulud-kulud projektita'!R108</f>
        <v>5208.3865000000005</v>
      </c>
      <c r="S108" s="11">
        <f>'2. Tulud-kulud projektiga'!S108-'3. Tulud-kulud projektita'!S108</f>
        <v>5208.3865000000005</v>
      </c>
      <c r="T108" s="16"/>
      <c r="U108" s="17"/>
    </row>
    <row r="109" spans="1:21" ht="16.5" customHeight="1" x14ac:dyDescent="0.35">
      <c r="A109" s="798" t="str">
        <f>'2. Tulud-kulud projektiga'!A109:B109</f>
        <v>Muu</v>
      </c>
      <c r="B109" s="798"/>
      <c r="C109" s="51" t="s">
        <v>3</v>
      </c>
      <c r="D109" s="11">
        <f>'2. Tulud-kulud projektiga'!D109-'3. Tulud-kulud projektita'!D109</f>
        <v>0</v>
      </c>
      <c r="E109" s="11">
        <f>'2. Tulud-kulud projektiga'!E109-'3. Tulud-kulud projektita'!E109</f>
        <v>0</v>
      </c>
      <c r="F109" s="11">
        <f>'2. Tulud-kulud projektiga'!F109-'3. Tulud-kulud projektita'!F109</f>
        <v>1420</v>
      </c>
      <c r="G109" s="11">
        <f>'2. Tulud-kulud projektiga'!G109-'3. Tulud-kulud projektita'!G109</f>
        <v>4260</v>
      </c>
      <c r="H109" s="11">
        <f>'2. Tulud-kulud projektiga'!H109-'3. Tulud-kulud projektita'!H109</f>
        <v>4260</v>
      </c>
      <c r="I109" s="11">
        <f>'2. Tulud-kulud projektiga'!I109-'3. Tulud-kulud projektita'!I109</f>
        <v>4260</v>
      </c>
      <c r="J109" s="11">
        <f>'2. Tulud-kulud projektiga'!J109-'3. Tulud-kulud projektita'!J109</f>
        <v>4260</v>
      </c>
      <c r="K109" s="11">
        <f>'2. Tulud-kulud projektiga'!K109-'3. Tulud-kulud projektita'!K109</f>
        <v>4260</v>
      </c>
      <c r="L109" s="11">
        <f>'2. Tulud-kulud projektiga'!L109-'3. Tulud-kulud projektita'!L109</f>
        <v>4260</v>
      </c>
      <c r="M109" s="11">
        <f>'2. Tulud-kulud projektiga'!M109-'3. Tulud-kulud projektita'!M109</f>
        <v>4260</v>
      </c>
      <c r="N109" s="11">
        <f>'2. Tulud-kulud projektiga'!N109-'3. Tulud-kulud projektita'!N109</f>
        <v>4260</v>
      </c>
      <c r="O109" s="11">
        <f>'2. Tulud-kulud projektiga'!O109-'3. Tulud-kulud projektita'!O109</f>
        <v>4260</v>
      </c>
      <c r="P109" s="11">
        <f>'2. Tulud-kulud projektiga'!P109-'3. Tulud-kulud projektita'!P109</f>
        <v>4260</v>
      </c>
      <c r="Q109" s="11">
        <f>'2. Tulud-kulud projektiga'!Q109-'3. Tulud-kulud projektita'!Q109</f>
        <v>4260</v>
      </c>
      <c r="R109" s="11">
        <f>'2. Tulud-kulud projektiga'!R109-'3. Tulud-kulud projektita'!R109</f>
        <v>4260</v>
      </c>
      <c r="S109" s="11">
        <f>'2. Tulud-kulud projektiga'!S109-'3. Tulud-kulud projektita'!S109</f>
        <v>4260</v>
      </c>
      <c r="T109" s="16"/>
      <c r="U109" s="17"/>
    </row>
    <row r="110" spans="1:21" ht="16.5" hidden="1" customHeight="1" x14ac:dyDescent="0.35">
      <c r="A110" s="798" t="str">
        <f>'2. Tulud-kulud projektiga'!A110:B110</f>
        <v>Muu kulu 5</v>
      </c>
      <c r="B110" s="798"/>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1">
        <f>'2. Tulud-kulud projektiga'!S110-'3. Tulud-kulud projektita'!S110</f>
        <v>0</v>
      </c>
      <c r="T110" s="16"/>
      <c r="U110" s="17"/>
    </row>
    <row r="111" spans="1:21" ht="16.5" hidden="1" customHeight="1" outlineLevel="1" x14ac:dyDescent="0.35">
      <c r="A111" s="798" t="str">
        <f>'2. Tulud-kulud projektiga'!A111:B111</f>
        <v>Asendusinvesteeringud:</v>
      </c>
      <c r="B111" s="798"/>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1">
        <f>'2. Tulud-kulud projektiga'!S111-'3. Tulud-kulud projektita'!S111</f>
        <v>0</v>
      </c>
      <c r="T111" s="16"/>
      <c r="U111" s="17"/>
    </row>
    <row r="112" spans="1:21" ht="16.5" hidden="1" customHeight="1" outlineLevel="1" x14ac:dyDescent="0.35">
      <c r="A112" s="798" t="str">
        <f>'2. Tulud-kulud projektiga'!A112:B112</f>
        <v>Sisustus</v>
      </c>
      <c r="B112" s="798"/>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90338.700000000012</v>
      </c>
      <c r="S112" s="11">
        <f>'2. Tulud-kulud projektiga'!S112-'3. Tulud-kulud projektita'!S112</f>
        <v>0</v>
      </c>
      <c r="T112" s="16"/>
      <c r="U112" s="17"/>
    </row>
    <row r="113" spans="1:21" ht="16.5" hidden="1" customHeight="1" outlineLevel="1" x14ac:dyDescent="0.35">
      <c r="A113" s="798" t="str">
        <f>'2. Tulud-kulud projektiga'!A113:B113</f>
        <v>Muu kulu 8</v>
      </c>
      <c r="B113" s="798"/>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1">
        <f>'2. Tulud-kulud projektiga'!S113-'3. Tulud-kulud projektita'!S113</f>
        <v>0</v>
      </c>
      <c r="T113" s="16"/>
      <c r="U113" s="17"/>
    </row>
    <row r="114" spans="1:21" ht="16.5" hidden="1" customHeight="1" outlineLevel="1" x14ac:dyDescent="0.35">
      <c r="A114" s="798" t="str">
        <f>'2. Tulud-kulud projektiga'!A114:B114</f>
        <v>Muu kulu 9</v>
      </c>
      <c r="B114" s="798"/>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1">
        <f>'2. Tulud-kulud projektiga'!S114-'3. Tulud-kulud projektita'!S114</f>
        <v>0</v>
      </c>
      <c r="T114" s="16"/>
      <c r="U114" s="17"/>
    </row>
    <row r="115" spans="1:21" ht="16.5" hidden="1" customHeight="1" outlineLevel="1" x14ac:dyDescent="0.35">
      <c r="A115" s="798" t="str">
        <f>'2. Tulud-kulud projektiga'!A115:B115</f>
        <v>Muu kulu 10</v>
      </c>
      <c r="B115" s="798"/>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1">
        <f>'2. Tulud-kulud projektiga'!S115-'3. Tulud-kulud projektita'!S115</f>
        <v>0</v>
      </c>
      <c r="T115" s="16"/>
      <c r="U115" s="17"/>
    </row>
    <row r="116" spans="1:21" s="2" customFormat="1" collapsed="1" x14ac:dyDescent="0.35">
      <c r="A116" s="799" t="str">
        <f>'2. Tulud-kulud projektiga'!A116:B116</f>
        <v>Muud kulud kokku</v>
      </c>
      <c r="B116" s="800"/>
      <c r="C116" s="48" t="s">
        <v>3</v>
      </c>
      <c r="D116" s="59">
        <f>'2. Tulud-kulud projektiga'!D116-'3. Tulud-kulud projektita'!D116</f>
        <v>0</v>
      </c>
      <c r="E116" s="59">
        <f>'2. Tulud-kulud projektiga'!E116-'3. Tulud-kulud projektita'!E116</f>
        <v>0</v>
      </c>
      <c r="F116" s="59">
        <f>'2. Tulud-kulud projektiga'!F116-'3. Tulud-kulud projektita'!F116</f>
        <v>6556.1288333333332</v>
      </c>
      <c r="G116" s="59">
        <f>'2. Tulud-kulud projektiga'!G116-'3. Tulud-kulud projektita'!G116</f>
        <v>19668.386500000001</v>
      </c>
      <c r="H116" s="59">
        <f>'2. Tulud-kulud projektiga'!H116-'3. Tulud-kulud projektita'!H116</f>
        <v>19668.386500000001</v>
      </c>
      <c r="I116" s="59">
        <f>'2. Tulud-kulud projektiga'!I116-'3. Tulud-kulud projektita'!I116</f>
        <v>19502.654500000001</v>
      </c>
      <c r="J116" s="59">
        <f>'2. Tulud-kulud projektiga'!J116-'3. Tulud-kulud projektita'!J116</f>
        <v>19502.654500000001</v>
      </c>
      <c r="K116" s="59">
        <f>'2. Tulud-kulud projektiga'!K116-'3. Tulud-kulud projektita'!K116</f>
        <v>19502.654500000001</v>
      </c>
      <c r="L116" s="59">
        <f>'2. Tulud-kulud projektiga'!L116-'3. Tulud-kulud projektita'!L116</f>
        <v>19502.654500000001</v>
      </c>
      <c r="M116" s="59">
        <f>'2. Tulud-kulud projektiga'!M116-'3. Tulud-kulud projektita'!M116</f>
        <v>19668.386500000001</v>
      </c>
      <c r="N116" s="59">
        <f>'2. Tulud-kulud projektiga'!N116-'3. Tulud-kulud projektita'!N116</f>
        <v>19668.386500000001</v>
      </c>
      <c r="O116" s="59">
        <f>'2. Tulud-kulud projektiga'!O116-'3. Tulud-kulud projektita'!O116</f>
        <v>19668.386500000001</v>
      </c>
      <c r="P116" s="59">
        <f>'2. Tulud-kulud projektiga'!P116-'3. Tulud-kulud projektita'!P116</f>
        <v>19668.386500000001</v>
      </c>
      <c r="Q116" s="59">
        <f>'2. Tulud-kulud projektiga'!Q116-'3. Tulud-kulud projektita'!Q116</f>
        <v>19668.386500000001</v>
      </c>
      <c r="R116" s="59">
        <f>'2. Tulud-kulud projektiga'!R116-'3. Tulud-kulud projektita'!R116</f>
        <v>110007.0865</v>
      </c>
      <c r="S116" s="59">
        <f>'2. Tulud-kulud projektiga'!S116-'3. Tulud-kulud projektita'!S116</f>
        <v>19668.386500000001</v>
      </c>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8"/>
      <c r="T117" s="16"/>
      <c r="U117" s="17"/>
    </row>
    <row r="118" spans="1:21" s="3" customFormat="1" ht="19.5" customHeight="1" x14ac:dyDescent="0.35">
      <c r="A118" s="801" t="s">
        <v>62</v>
      </c>
      <c r="B118" s="802"/>
      <c r="C118" s="57" t="s">
        <v>3</v>
      </c>
      <c r="D118" s="58">
        <f t="shared" ref="D118:K118" si="7">D80+D92+D104+D116</f>
        <v>0</v>
      </c>
      <c r="E118" s="58">
        <f t="shared" si="7"/>
        <v>0</v>
      </c>
      <c r="F118" s="58">
        <f t="shared" si="7"/>
        <v>63205.406368533339</v>
      </c>
      <c r="G118" s="58">
        <f t="shared" si="7"/>
        <v>155681.8631056</v>
      </c>
      <c r="H118" s="58">
        <f t="shared" si="7"/>
        <v>155681.8631056</v>
      </c>
      <c r="I118" s="58">
        <f t="shared" si="7"/>
        <v>155802.19376560001</v>
      </c>
      <c r="J118" s="58">
        <f t="shared" si="7"/>
        <v>155802.19376560001</v>
      </c>
      <c r="K118" s="58">
        <f t="shared" si="7"/>
        <v>155802.19376560001</v>
      </c>
      <c r="L118" s="58">
        <f t="shared" ref="L118:R118" si="8">L80+L92+L104+L116</f>
        <v>155802.19376560001</v>
      </c>
      <c r="M118" s="58">
        <f t="shared" si="8"/>
        <v>151253.98842559999</v>
      </c>
      <c r="N118" s="58">
        <f t="shared" si="8"/>
        <v>151253.98842559999</v>
      </c>
      <c r="O118" s="58">
        <f t="shared" si="8"/>
        <v>151253.98842559999</v>
      </c>
      <c r="P118" s="58">
        <f t="shared" si="8"/>
        <v>151253.98842559999</v>
      </c>
      <c r="Q118" s="58">
        <f t="shared" si="8"/>
        <v>151253.98842559999</v>
      </c>
      <c r="R118" s="58">
        <f t="shared" si="8"/>
        <v>241592.6884256</v>
      </c>
      <c r="S118" s="58">
        <f t="shared" ref="S118" si="9">S80+S92+S104+S116</f>
        <v>151253.98842559999</v>
      </c>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8"/>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6" t="b">
        <f>S118=('2. Tulud-kulud projektiga'!S118-'3. Tulud-kulud projektita'!S118)</f>
        <v>1</v>
      </c>
      <c r="T120" s="67"/>
      <c r="U120" s="68"/>
    </row>
    <row r="121" spans="1:21" s="3" customFormat="1" ht="21" customHeight="1" x14ac:dyDescent="0.35">
      <c r="A121" s="803" t="s">
        <v>31</v>
      </c>
      <c r="B121" s="804"/>
      <c r="C121" s="22" t="s">
        <v>3</v>
      </c>
      <c r="D121" s="14">
        <f t="shared" ref="D121:K121" si="10">D53-D118</f>
        <v>0</v>
      </c>
      <c r="E121" s="14">
        <f t="shared" si="10"/>
        <v>0</v>
      </c>
      <c r="F121" s="14">
        <f t="shared" si="10"/>
        <v>-26433.115425622113</v>
      </c>
      <c r="G121" s="14">
        <f t="shared" si="10"/>
        <v>-45364.990276866331</v>
      </c>
      <c r="H121" s="14">
        <f t="shared" si="10"/>
        <v>-45364.990276866331</v>
      </c>
      <c r="I121" s="14">
        <f t="shared" si="10"/>
        <v>-7721.4814060806821</v>
      </c>
      <c r="J121" s="14">
        <f t="shared" si="10"/>
        <v>-7721.4814060806821</v>
      </c>
      <c r="K121" s="14">
        <f t="shared" si="10"/>
        <v>-7721.4814060806821</v>
      </c>
      <c r="L121" s="14">
        <f t="shared" ref="L121:R121" si="11">L53-L118</f>
        <v>-7721.4814060806821</v>
      </c>
      <c r="M121" s="14">
        <f t="shared" si="11"/>
        <v>34619.762443655258</v>
      </c>
      <c r="N121" s="14">
        <f t="shared" si="11"/>
        <v>34619.762443655258</v>
      </c>
      <c r="O121" s="14">
        <f t="shared" si="11"/>
        <v>34619.762443655258</v>
      </c>
      <c r="P121" s="14">
        <f t="shared" si="11"/>
        <v>34619.762443655258</v>
      </c>
      <c r="Q121" s="14">
        <f t="shared" si="11"/>
        <v>34619.762443655258</v>
      </c>
      <c r="R121" s="14">
        <f t="shared" si="11"/>
        <v>-55718.937556344754</v>
      </c>
      <c r="S121" s="14">
        <f t="shared" ref="S121" si="12">S53-S118</f>
        <v>34619.762443655258</v>
      </c>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9"/>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67" t="b">
        <f>S121=('2. Tulud-kulud projektiga'!S121-'3. Tulud-kulud projektita'!S121)</f>
        <v>1</v>
      </c>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803" t="s">
        <v>172</v>
      </c>
      <c r="B125" s="804"/>
      <c r="C125" s="22" t="s">
        <v>3</v>
      </c>
      <c r="D125" s="14">
        <f>D121</f>
        <v>0</v>
      </c>
      <c r="E125" s="14">
        <f>D125+E121</f>
        <v>0</v>
      </c>
      <c r="F125" s="14">
        <f t="shared" ref="F125:P125" si="13">E125+F121</f>
        <v>-26433.115425622113</v>
      </c>
      <c r="G125" s="14">
        <f t="shared" si="13"/>
        <v>-71798.10570248845</v>
      </c>
      <c r="H125" s="14">
        <f t="shared" si="13"/>
        <v>-117163.09597935478</v>
      </c>
      <c r="I125" s="14">
        <f t="shared" si="13"/>
        <v>-124884.57738543546</v>
      </c>
      <c r="J125" s="14">
        <f t="shared" si="13"/>
        <v>-132606.05879151614</v>
      </c>
      <c r="K125" s="14">
        <f t="shared" si="13"/>
        <v>-140327.54019759683</v>
      </c>
      <c r="L125" s="14">
        <f t="shared" si="13"/>
        <v>-148049.02160367751</v>
      </c>
      <c r="M125" s="14">
        <f t="shared" si="13"/>
        <v>-113429.25916002225</v>
      </c>
      <c r="N125" s="14">
        <f t="shared" si="13"/>
        <v>-78809.496716366993</v>
      </c>
      <c r="O125" s="14">
        <f t="shared" si="13"/>
        <v>-44189.734272711736</v>
      </c>
      <c r="P125" s="14">
        <f t="shared" si="13"/>
        <v>-9569.9718290564779</v>
      </c>
      <c r="Q125" s="14">
        <f t="shared" ref="Q125" si="14">P125+Q121</f>
        <v>25049.79061459878</v>
      </c>
      <c r="R125" s="14">
        <f t="shared" ref="R125:S125" si="15">Q125+R121</f>
        <v>-30669.146941745974</v>
      </c>
      <c r="S125" s="14">
        <f t="shared" si="15"/>
        <v>3950.6155019092839</v>
      </c>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9"/>
      <c r="T126" s="16"/>
      <c r="U126" s="17"/>
    </row>
    <row r="127" spans="1:21" x14ac:dyDescent="0.35">
      <c r="B127" s="24"/>
      <c r="C127" s="7"/>
      <c r="D127" s="67"/>
      <c r="E127" s="67"/>
      <c r="F127" s="67"/>
      <c r="G127" s="67"/>
      <c r="H127" s="67"/>
      <c r="I127" s="67"/>
      <c r="J127" s="67"/>
      <c r="K127" s="67"/>
      <c r="L127" s="67"/>
      <c r="M127" s="67"/>
      <c r="N127" s="67"/>
      <c r="O127" s="67"/>
      <c r="P127" s="67"/>
      <c r="Q127" s="67"/>
      <c r="R127" s="67"/>
      <c r="S127" s="67"/>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workbookViewId="0">
      <selection activeCell="F58" sqref="F58"/>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94" t="s">
        <v>174</v>
      </c>
      <c r="H1" s="295" t="s">
        <v>175</v>
      </c>
    </row>
    <row r="2" spans="1:35" ht="8.25" customHeight="1" x14ac:dyDescent="0.35"/>
    <row r="3" spans="1:35" s="237" customFormat="1" ht="23.25" customHeight="1" x14ac:dyDescent="0.35">
      <c r="A3" s="233"/>
      <c r="B3" s="234"/>
      <c r="C3" s="296">
        <f>'2. Tulud-kulud projektiga'!D3</f>
        <v>2024</v>
      </c>
      <c r="D3" s="296">
        <f>C3+1</f>
        <v>2025</v>
      </c>
      <c r="E3" s="296">
        <f t="shared" ref="E3:O3" si="0">D3+1</f>
        <v>2026</v>
      </c>
      <c r="F3" s="296">
        <f t="shared" si="0"/>
        <v>2027</v>
      </c>
      <c r="G3" s="296">
        <f t="shared" si="0"/>
        <v>2028</v>
      </c>
      <c r="H3" s="296">
        <f t="shared" si="0"/>
        <v>2029</v>
      </c>
      <c r="I3" s="296">
        <f t="shared" si="0"/>
        <v>2030</v>
      </c>
      <c r="J3" s="296">
        <f t="shared" si="0"/>
        <v>2031</v>
      </c>
      <c r="K3" s="296">
        <f t="shared" si="0"/>
        <v>2032</v>
      </c>
      <c r="L3" s="296">
        <f t="shared" si="0"/>
        <v>2033</v>
      </c>
      <c r="M3" s="296">
        <f t="shared" si="0"/>
        <v>2034</v>
      </c>
      <c r="N3" s="296">
        <f t="shared" si="0"/>
        <v>2035</v>
      </c>
      <c r="O3" s="296">
        <f t="shared" si="0"/>
        <v>2036</v>
      </c>
      <c r="P3" s="296">
        <f t="shared" ref="P3" si="1">O3+1</f>
        <v>2037</v>
      </c>
      <c r="Q3" s="296">
        <f t="shared" ref="Q3:R3" si="2">P3+1</f>
        <v>2038</v>
      </c>
      <c r="R3" s="296">
        <f t="shared" si="2"/>
        <v>2039</v>
      </c>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297"/>
      <c r="D4" s="297"/>
      <c r="E4" s="297"/>
      <c r="F4" s="297"/>
      <c r="G4" s="297"/>
      <c r="H4" s="297"/>
      <c r="I4" s="297"/>
      <c r="J4" s="297"/>
      <c r="K4" s="297"/>
      <c r="L4" s="297"/>
      <c r="M4" s="297"/>
      <c r="N4" s="297"/>
      <c r="O4" s="297"/>
      <c r="P4" s="297"/>
      <c r="Q4" s="298"/>
      <c r="R4" s="298"/>
    </row>
    <row r="5" spans="1:35" ht="20.25" customHeight="1" x14ac:dyDescent="0.35">
      <c r="A5" s="299" t="s">
        <v>176</v>
      </c>
      <c r="B5" s="300" t="s">
        <v>2</v>
      </c>
      <c r="C5" s="72"/>
      <c r="D5" s="72"/>
      <c r="E5" s="72"/>
      <c r="F5" s="72"/>
      <c r="G5" s="72"/>
      <c r="H5" s="72"/>
      <c r="I5" s="72"/>
      <c r="J5" s="72"/>
      <c r="K5" s="72"/>
      <c r="L5" s="72"/>
      <c r="M5" s="72"/>
      <c r="N5" s="72"/>
      <c r="O5" s="72"/>
      <c r="P5" s="72"/>
      <c r="Q5" s="72"/>
      <c r="R5" s="72"/>
    </row>
    <row r="6" spans="1:35" ht="4.5" customHeight="1" x14ac:dyDescent="0.35">
      <c r="A6" s="240"/>
      <c r="B6" s="239"/>
      <c r="C6" s="74"/>
      <c r="D6" s="74"/>
      <c r="E6" s="74"/>
      <c r="F6" s="74"/>
      <c r="G6" s="74"/>
      <c r="H6" s="74"/>
      <c r="I6" s="74"/>
      <c r="J6" s="74"/>
      <c r="K6" s="74"/>
      <c r="L6" s="74"/>
      <c r="M6" s="74"/>
      <c r="N6" s="74"/>
      <c r="O6" s="74"/>
      <c r="P6" s="74"/>
      <c r="Q6" s="134"/>
      <c r="R6" s="134"/>
    </row>
    <row r="7" spans="1:35" s="244" customFormat="1" ht="16.5" customHeight="1" x14ac:dyDescent="0.35">
      <c r="A7" s="301" t="s">
        <v>177</v>
      </c>
      <c r="B7" s="302" t="s">
        <v>3</v>
      </c>
      <c r="C7" s="303">
        <f>'4. Lisanduvad tulud-kulud'!D53</f>
        <v>0</v>
      </c>
      <c r="D7" s="303">
        <f>'4. Lisanduvad tulud-kulud'!E53</f>
        <v>0</v>
      </c>
      <c r="E7" s="303">
        <f>'4. Lisanduvad tulud-kulud'!F53</f>
        <v>36772.290942911226</v>
      </c>
      <c r="F7" s="303">
        <f>'4. Lisanduvad tulud-kulud'!G53</f>
        <v>110316.87282873367</v>
      </c>
      <c r="G7" s="303">
        <f>'4. Lisanduvad tulud-kulud'!H53</f>
        <v>110316.87282873367</v>
      </c>
      <c r="H7" s="303">
        <f>'4. Lisanduvad tulud-kulud'!I53</f>
        <v>148080.71235951933</v>
      </c>
      <c r="I7" s="303">
        <f>'4. Lisanduvad tulud-kulud'!J53</f>
        <v>148080.71235951933</v>
      </c>
      <c r="J7" s="303">
        <f>'4. Lisanduvad tulud-kulud'!K53</f>
        <v>148080.71235951933</v>
      </c>
      <c r="K7" s="303">
        <f>'4. Lisanduvad tulud-kulud'!L53</f>
        <v>148080.71235951933</v>
      </c>
      <c r="L7" s="303">
        <f>'4. Lisanduvad tulud-kulud'!M53</f>
        <v>185873.75086925525</v>
      </c>
      <c r="M7" s="303">
        <f>'4. Lisanduvad tulud-kulud'!N53</f>
        <v>185873.75086925525</v>
      </c>
      <c r="N7" s="303">
        <f>'4. Lisanduvad tulud-kulud'!O53</f>
        <v>185873.75086925525</v>
      </c>
      <c r="O7" s="303">
        <f>'4. Lisanduvad tulud-kulud'!P53</f>
        <v>185873.75086925525</v>
      </c>
      <c r="P7" s="303">
        <f>'4. Lisanduvad tulud-kulud'!Q53</f>
        <v>185873.75086925525</v>
      </c>
      <c r="Q7" s="303">
        <f>'4. Lisanduvad tulud-kulud'!R53</f>
        <v>185873.75086925525</v>
      </c>
      <c r="R7" s="303">
        <f>'4. Lisanduvad tulud-kulud'!S53</f>
        <v>185873.75086925525</v>
      </c>
    </row>
    <row r="8" spans="1:35" s="244" customFormat="1" ht="16.5" customHeight="1" x14ac:dyDescent="0.35">
      <c r="A8" s="304" t="s">
        <v>178</v>
      </c>
      <c r="B8" s="302" t="s">
        <v>3</v>
      </c>
      <c r="C8" s="305"/>
      <c r="D8" s="305"/>
      <c r="E8" s="305"/>
      <c r="F8" s="305"/>
      <c r="G8" s="305"/>
      <c r="H8" s="305"/>
      <c r="I8" s="305"/>
      <c r="J8" s="305"/>
      <c r="K8" s="305"/>
      <c r="L8" s="305"/>
      <c r="M8" s="305"/>
      <c r="N8" s="305"/>
      <c r="O8" s="305"/>
      <c r="P8" s="305"/>
      <c r="Q8" s="303">
        <f>'8. Jääkväärtus'!Q14</f>
        <v>0</v>
      </c>
      <c r="R8" s="303">
        <f>'8. Jääkväärtus'!R14</f>
        <v>0</v>
      </c>
    </row>
    <row r="9" spans="1:35" ht="16.5" customHeight="1" x14ac:dyDescent="0.35">
      <c r="A9" s="241"/>
      <c r="B9" s="242" t="s">
        <v>3</v>
      </c>
      <c r="C9" s="11"/>
      <c r="D9" s="11"/>
      <c r="E9" s="11"/>
      <c r="F9" s="11"/>
      <c r="G9" s="11"/>
      <c r="H9" s="11"/>
      <c r="I9" s="11"/>
      <c r="J9" s="11"/>
      <c r="K9" s="11"/>
      <c r="L9" s="11"/>
      <c r="M9" s="11"/>
      <c r="N9" s="11"/>
      <c r="O9" s="11"/>
      <c r="P9" s="11"/>
      <c r="Q9" s="11"/>
      <c r="R9" s="11"/>
    </row>
    <row r="10" spans="1:35" ht="4.5" customHeight="1" x14ac:dyDescent="0.35">
      <c r="A10" s="238"/>
      <c r="B10" s="246"/>
      <c r="C10" s="18"/>
      <c r="D10" s="18"/>
      <c r="E10" s="18"/>
      <c r="F10" s="18"/>
      <c r="G10" s="18"/>
      <c r="H10" s="18"/>
      <c r="I10" s="18"/>
      <c r="J10" s="18"/>
      <c r="K10" s="18"/>
      <c r="L10" s="18"/>
      <c r="M10" s="18"/>
      <c r="N10" s="18"/>
      <c r="O10" s="18"/>
      <c r="P10" s="18"/>
      <c r="Q10" s="19"/>
      <c r="R10" s="19"/>
    </row>
    <row r="11" spans="1:35" s="250" customFormat="1" ht="22.5" customHeight="1" x14ac:dyDescent="0.35">
      <c r="A11" s="306" t="s">
        <v>179</v>
      </c>
      <c r="B11" s="307" t="s">
        <v>3</v>
      </c>
      <c r="C11" s="308">
        <f t="shared" ref="C11:Q11" si="3">SUM(C7:C9)</f>
        <v>0</v>
      </c>
      <c r="D11" s="308">
        <f t="shared" si="3"/>
        <v>0</v>
      </c>
      <c r="E11" s="308">
        <f t="shared" si="3"/>
        <v>36772.290942911226</v>
      </c>
      <c r="F11" s="308">
        <f t="shared" si="3"/>
        <v>110316.87282873367</v>
      </c>
      <c r="G11" s="308">
        <f t="shared" si="3"/>
        <v>110316.87282873367</v>
      </c>
      <c r="H11" s="308">
        <f t="shared" si="3"/>
        <v>148080.71235951933</v>
      </c>
      <c r="I11" s="308">
        <f t="shared" si="3"/>
        <v>148080.71235951933</v>
      </c>
      <c r="J11" s="308">
        <f t="shared" si="3"/>
        <v>148080.71235951933</v>
      </c>
      <c r="K11" s="308">
        <f t="shared" si="3"/>
        <v>148080.71235951933</v>
      </c>
      <c r="L11" s="308">
        <f t="shared" si="3"/>
        <v>185873.75086925525</v>
      </c>
      <c r="M11" s="308">
        <f t="shared" si="3"/>
        <v>185873.75086925525</v>
      </c>
      <c r="N11" s="308">
        <f t="shared" si="3"/>
        <v>185873.75086925525</v>
      </c>
      <c r="O11" s="308">
        <f t="shared" si="3"/>
        <v>185873.75086925525</v>
      </c>
      <c r="P11" s="308">
        <f t="shared" si="3"/>
        <v>185873.75086925525</v>
      </c>
      <c r="Q11" s="308">
        <f t="shared" si="3"/>
        <v>185873.75086925525</v>
      </c>
      <c r="R11" s="308">
        <f t="shared" ref="R11" si="4">SUM(R7:R9)</f>
        <v>185873.75086925525</v>
      </c>
      <c r="S11" s="3"/>
      <c r="T11" s="3"/>
      <c r="U11" s="3"/>
      <c r="V11" s="3"/>
      <c r="W11" s="3"/>
      <c r="X11" s="3"/>
      <c r="Y11" s="3"/>
      <c r="Z11" s="3"/>
      <c r="AA11" s="3"/>
      <c r="AB11" s="3"/>
      <c r="AC11" s="3"/>
      <c r="AD11" s="3"/>
      <c r="AE11" s="3"/>
      <c r="AF11" s="3"/>
      <c r="AG11" s="3"/>
      <c r="AH11" s="3"/>
      <c r="AI11" s="3"/>
    </row>
    <row r="12" spans="1:35" s="250" customFormat="1" ht="4.5" customHeight="1" x14ac:dyDescent="0.35">
      <c r="A12" s="251"/>
      <c r="B12" s="246"/>
      <c r="C12" s="252"/>
      <c r="D12" s="252"/>
      <c r="E12" s="252"/>
      <c r="F12" s="252"/>
      <c r="G12" s="252"/>
      <c r="H12" s="252"/>
      <c r="I12" s="252"/>
      <c r="J12" s="252"/>
      <c r="K12" s="252"/>
      <c r="L12" s="252"/>
      <c r="M12" s="252"/>
      <c r="N12" s="252"/>
      <c r="O12" s="252"/>
      <c r="P12" s="252"/>
      <c r="Q12" s="253"/>
      <c r="R12" s="253"/>
      <c r="S12" s="3"/>
      <c r="T12" s="3"/>
      <c r="U12" s="3"/>
      <c r="V12" s="3"/>
      <c r="W12" s="3"/>
      <c r="X12" s="3"/>
      <c r="Y12" s="3"/>
      <c r="Z12" s="3"/>
      <c r="AA12" s="3"/>
      <c r="AB12" s="3"/>
      <c r="AC12" s="3"/>
      <c r="AD12" s="3"/>
      <c r="AE12" s="3"/>
      <c r="AF12" s="3"/>
      <c r="AG12" s="3"/>
      <c r="AH12" s="3"/>
      <c r="AI12" s="3"/>
    </row>
    <row r="13" spans="1:35" ht="20.25" customHeight="1" x14ac:dyDescent="0.35">
      <c r="A13" s="254"/>
      <c r="B13" s="255"/>
      <c r="C13" s="256"/>
      <c r="D13" s="256"/>
      <c r="E13" s="256"/>
      <c r="F13" s="256"/>
      <c r="G13" s="256"/>
      <c r="H13" s="256"/>
      <c r="I13" s="256"/>
      <c r="J13" s="256"/>
      <c r="K13" s="256"/>
      <c r="L13" s="256"/>
      <c r="M13" s="256"/>
      <c r="N13" s="256"/>
      <c r="O13" s="256"/>
      <c r="P13" s="256"/>
      <c r="Q13" s="256"/>
      <c r="R13" s="256"/>
    </row>
    <row r="14" spans="1:35" ht="20.25" customHeight="1" x14ac:dyDescent="0.35">
      <c r="A14" s="299" t="s">
        <v>180</v>
      </c>
      <c r="B14" s="257"/>
      <c r="C14" s="11"/>
      <c r="D14" s="11"/>
      <c r="E14" s="11"/>
      <c r="F14" s="11"/>
      <c r="G14" s="11"/>
      <c r="H14" s="11"/>
      <c r="I14" s="11"/>
      <c r="J14" s="11"/>
      <c r="K14" s="11"/>
      <c r="L14" s="11"/>
      <c r="M14" s="11"/>
      <c r="N14" s="11"/>
      <c r="O14" s="11"/>
      <c r="P14" s="11"/>
      <c r="Q14" s="11"/>
      <c r="R14" s="11"/>
    </row>
    <row r="15" spans="1:35" ht="4.5" customHeight="1" x14ac:dyDescent="0.35">
      <c r="A15" s="240"/>
      <c r="B15" s="246"/>
      <c r="C15" s="18"/>
      <c r="D15" s="18"/>
      <c r="E15" s="18"/>
      <c r="F15" s="18"/>
      <c r="G15" s="18"/>
      <c r="H15" s="18"/>
      <c r="I15" s="18"/>
      <c r="J15" s="18"/>
      <c r="K15" s="18"/>
      <c r="L15" s="18"/>
      <c r="M15" s="18"/>
      <c r="N15" s="18"/>
      <c r="O15" s="18"/>
      <c r="P15" s="18"/>
      <c r="Q15" s="19"/>
      <c r="R15" s="19"/>
    </row>
    <row r="16" spans="1:35" ht="16.5" customHeight="1" x14ac:dyDescent="0.35">
      <c r="A16" s="304" t="s">
        <v>181</v>
      </c>
      <c r="B16" s="302" t="s">
        <v>3</v>
      </c>
      <c r="C16" s="303">
        <f>'4. Lisanduvad tulud-kulud'!D118</f>
        <v>0</v>
      </c>
      <c r="D16" s="303">
        <f>'4. Lisanduvad tulud-kulud'!E118</f>
        <v>0</v>
      </c>
      <c r="E16" s="303">
        <f>'4. Lisanduvad tulud-kulud'!F118</f>
        <v>63205.406368533339</v>
      </c>
      <c r="F16" s="303">
        <f>'4. Lisanduvad tulud-kulud'!G118</f>
        <v>155681.8631056</v>
      </c>
      <c r="G16" s="303">
        <f>'4. Lisanduvad tulud-kulud'!H118</f>
        <v>155681.8631056</v>
      </c>
      <c r="H16" s="303">
        <f>'4. Lisanduvad tulud-kulud'!I118</f>
        <v>155802.19376560001</v>
      </c>
      <c r="I16" s="303">
        <f>'4. Lisanduvad tulud-kulud'!J118</f>
        <v>155802.19376560001</v>
      </c>
      <c r="J16" s="303">
        <f>'4. Lisanduvad tulud-kulud'!K118</f>
        <v>155802.19376560001</v>
      </c>
      <c r="K16" s="303">
        <f>'4. Lisanduvad tulud-kulud'!L118</f>
        <v>155802.19376560001</v>
      </c>
      <c r="L16" s="303">
        <f>'4. Lisanduvad tulud-kulud'!M118</f>
        <v>151253.98842559999</v>
      </c>
      <c r="M16" s="303">
        <f>'4. Lisanduvad tulud-kulud'!N118</f>
        <v>151253.98842559999</v>
      </c>
      <c r="N16" s="303">
        <f>'4. Lisanduvad tulud-kulud'!O118</f>
        <v>151253.98842559999</v>
      </c>
      <c r="O16" s="303">
        <f>'4. Lisanduvad tulud-kulud'!P118</f>
        <v>151253.98842559999</v>
      </c>
      <c r="P16" s="303">
        <f>'4. Lisanduvad tulud-kulud'!Q118</f>
        <v>151253.98842559999</v>
      </c>
      <c r="Q16" s="303">
        <f>'4. Lisanduvad tulud-kulud'!R118</f>
        <v>241592.6884256</v>
      </c>
      <c r="R16" s="303">
        <f>'4. Lisanduvad tulud-kulud'!S118</f>
        <v>151253.98842559999</v>
      </c>
    </row>
    <row r="17" spans="1:35" ht="16.5" customHeight="1" x14ac:dyDescent="0.35">
      <c r="A17" s="304" t="s">
        <v>121</v>
      </c>
      <c r="B17" s="302" t="s">
        <v>3</v>
      </c>
      <c r="C17" s="303">
        <f>'6. Rahavood'!C28</f>
        <v>0</v>
      </c>
      <c r="D17" s="303">
        <f>'6. Rahavood'!D28</f>
        <v>0</v>
      </c>
      <c r="E17" s="303">
        <f>'6. Rahavood'!E28</f>
        <v>0</v>
      </c>
      <c r="F17" s="303">
        <f>'6. Rahavood'!F28</f>
        <v>0</v>
      </c>
      <c r="G17" s="303">
        <f>'6. Rahavood'!G28</f>
        <v>0</v>
      </c>
      <c r="H17" s="303">
        <f>'6. Rahavood'!H28</f>
        <v>0</v>
      </c>
      <c r="I17" s="303">
        <f>'6. Rahavood'!I28</f>
        <v>0</v>
      </c>
      <c r="J17" s="303">
        <f>'6. Rahavood'!J28</f>
        <v>0</v>
      </c>
      <c r="K17" s="303">
        <f>'6. Rahavood'!K28</f>
        <v>0</v>
      </c>
      <c r="L17" s="303">
        <f>'6. Rahavood'!L28</f>
        <v>40000</v>
      </c>
      <c r="M17" s="303">
        <f>'6. Rahavood'!M28</f>
        <v>18000</v>
      </c>
      <c r="N17" s="303">
        <f>'6. Rahavood'!N28</f>
        <v>30000</v>
      </c>
      <c r="O17" s="303">
        <f>'6. Rahavood'!O28</f>
        <v>30000</v>
      </c>
      <c r="P17" s="303">
        <f>'6. Rahavood'!P28</f>
        <v>5000</v>
      </c>
      <c r="Q17" s="303">
        <f>'6. Rahavood'!Q28</f>
        <v>0</v>
      </c>
      <c r="R17" s="303">
        <f>'6. Rahavood'!R28</f>
        <v>33000</v>
      </c>
    </row>
    <row r="18" spans="1:35" ht="16.5" customHeight="1" x14ac:dyDescent="0.35">
      <c r="A18" s="304" t="s">
        <v>122</v>
      </c>
      <c r="B18" s="302" t="s">
        <v>3</v>
      </c>
      <c r="C18" s="303">
        <f>'6. Rahavood'!C29</f>
        <v>0</v>
      </c>
      <c r="D18" s="303">
        <f>'6. Rahavood'!D29</f>
        <v>0</v>
      </c>
      <c r="E18" s="303">
        <f>'6. Rahavood'!E29</f>
        <v>0</v>
      </c>
      <c r="F18" s="303">
        <f>'6. Rahavood'!F29</f>
        <v>0</v>
      </c>
      <c r="G18" s="303">
        <f>'6. Rahavood'!G29</f>
        <v>0</v>
      </c>
      <c r="H18" s="303">
        <f>'6. Rahavood'!H29</f>
        <v>0</v>
      </c>
      <c r="I18" s="303">
        <f>'6. Rahavood'!I29</f>
        <v>0</v>
      </c>
      <c r="J18" s="303">
        <f>'6. Rahavood'!J29</f>
        <v>0</v>
      </c>
      <c r="K18" s="303">
        <f>'6. Rahavood'!K29</f>
        <v>0</v>
      </c>
      <c r="L18" s="303">
        <f>'6. Rahavood'!L29</f>
        <v>0</v>
      </c>
      <c r="M18" s="303">
        <f>'6. Rahavood'!M29</f>
        <v>0</v>
      </c>
      <c r="N18" s="303">
        <f>'6. Rahavood'!N29</f>
        <v>0</v>
      </c>
      <c r="O18" s="303">
        <f>'6. Rahavood'!O29</f>
        <v>0</v>
      </c>
      <c r="P18" s="303">
        <f>'6. Rahavood'!P29</f>
        <v>0</v>
      </c>
      <c r="Q18" s="303">
        <f>'6. Rahavood'!Q29</f>
        <v>0</v>
      </c>
      <c r="R18" s="303">
        <f>'6. Rahavood'!R29</f>
        <v>0</v>
      </c>
    </row>
    <row r="19" spans="1:35" ht="16.5" customHeight="1" x14ac:dyDescent="0.35">
      <c r="A19" s="304" t="s">
        <v>182</v>
      </c>
      <c r="B19" s="302" t="s">
        <v>3</v>
      </c>
      <c r="C19" s="303">
        <f>'6. Rahavood'!C14</f>
        <v>0</v>
      </c>
      <c r="D19" s="303">
        <f>'6. Rahavood'!D14</f>
        <v>0</v>
      </c>
      <c r="E19" s="303">
        <f>'6. Rahavood'!E14</f>
        <v>0</v>
      </c>
      <c r="F19" s="303">
        <f>'6. Rahavood'!F14</f>
        <v>0</v>
      </c>
      <c r="G19" s="303">
        <f>'6. Rahavood'!G14</f>
        <v>0</v>
      </c>
      <c r="H19" s="303">
        <f>'6. Rahavood'!H14</f>
        <v>0</v>
      </c>
      <c r="I19" s="303">
        <f>'6. Rahavood'!I14</f>
        <v>0</v>
      </c>
      <c r="J19" s="303">
        <f>'6. Rahavood'!J14</f>
        <v>0</v>
      </c>
      <c r="K19" s="303">
        <f>'6. Rahavood'!K14</f>
        <v>0</v>
      </c>
      <c r="L19" s="303">
        <f>'6. Rahavood'!L14</f>
        <v>0</v>
      </c>
      <c r="M19" s="303">
        <f>'6. Rahavood'!M14</f>
        <v>0</v>
      </c>
      <c r="N19" s="303">
        <f>'6. Rahavood'!N14</f>
        <v>0</v>
      </c>
      <c r="O19" s="303">
        <f>'6. Rahavood'!O14</f>
        <v>0</v>
      </c>
      <c r="P19" s="303">
        <f>'6. Rahavood'!P14</f>
        <v>0</v>
      </c>
      <c r="Q19" s="303">
        <f>'6. Rahavood'!Q14</f>
        <v>0</v>
      </c>
      <c r="R19" s="303">
        <f>'6. Rahavood'!R14</f>
        <v>0</v>
      </c>
    </row>
    <row r="20" spans="1:35" ht="16.5" customHeight="1" x14ac:dyDescent="0.35">
      <c r="A20" s="304" t="s">
        <v>183</v>
      </c>
      <c r="B20" s="302" t="s">
        <v>3</v>
      </c>
      <c r="C20" s="303">
        <f>SUM('6. Rahavood'!C8:C12)</f>
        <v>0</v>
      </c>
      <c r="D20" s="303">
        <f>SUM('6. Rahavood'!D8:D12)</f>
        <v>0</v>
      </c>
      <c r="E20" s="303">
        <f>SUM('6. Rahavood'!E8:E12)</f>
        <v>0</v>
      </c>
      <c r="F20" s="303">
        <f>SUM('6. Rahavood'!F8:F12)</f>
        <v>0</v>
      </c>
      <c r="G20" s="303">
        <f>SUM('6. Rahavood'!G8:G12)</f>
        <v>0</v>
      </c>
      <c r="H20" s="303">
        <f>SUM('6. Rahavood'!H8:H12)</f>
        <v>0</v>
      </c>
      <c r="I20" s="303">
        <f>SUM('6. Rahavood'!I8:I12)</f>
        <v>0</v>
      </c>
      <c r="J20" s="303">
        <f>SUM('6. Rahavood'!J8:J12)</f>
        <v>0</v>
      </c>
      <c r="K20" s="303">
        <f>SUM('6. Rahavood'!K8:K12)</f>
        <v>0</v>
      </c>
      <c r="L20" s="303">
        <f>SUM('6. Rahavood'!L8:L12)</f>
        <v>0</v>
      </c>
      <c r="M20" s="303">
        <f>SUM('6. Rahavood'!M8:M12)</f>
        <v>0</v>
      </c>
      <c r="N20" s="303">
        <f>SUM('6. Rahavood'!N8:N12)</f>
        <v>0</v>
      </c>
      <c r="O20" s="303">
        <f>SUM('6. Rahavood'!O8:O12)</f>
        <v>0</v>
      </c>
      <c r="P20" s="303">
        <f>SUM('6. Rahavood'!P8:P12)</f>
        <v>0</v>
      </c>
      <c r="Q20" s="303">
        <f>SUM('6. Rahavood'!Q8:Q12)</f>
        <v>0</v>
      </c>
      <c r="R20" s="303">
        <f>SUM('6. Rahavood'!R8:R12)</f>
        <v>0</v>
      </c>
    </row>
    <row r="21" spans="1:35" ht="4.5" customHeight="1" x14ac:dyDescent="0.35">
      <c r="A21" s="259"/>
      <c r="B21" s="260"/>
      <c r="C21" s="258"/>
      <c r="D21" s="258"/>
      <c r="E21" s="258"/>
      <c r="F21" s="258"/>
      <c r="G21" s="258"/>
      <c r="H21" s="258"/>
      <c r="I21" s="258"/>
      <c r="J21" s="258"/>
      <c r="K21" s="258"/>
      <c r="L21" s="258"/>
      <c r="M21" s="258"/>
      <c r="N21" s="258"/>
      <c r="O21" s="258"/>
      <c r="P21" s="258"/>
      <c r="Q21" s="258"/>
      <c r="R21" s="258"/>
    </row>
    <row r="22" spans="1:35" s="250" customFormat="1" ht="22.5" customHeight="1" x14ac:dyDescent="0.35">
      <c r="A22" s="306" t="s">
        <v>184</v>
      </c>
      <c r="B22" s="307" t="s">
        <v>3</v>
      </c>
      <c r="C22" s="308">
        <f t="shared" ref="C22:Q22" si="5">SUM(C16:C20)</f>
        <v>0</v>
      </c>
      <c r="D22" s="308">
        <f t="shared" si="5"/>
        <v>0</v>
      </c>
      <c r="E22" s="308">
        <f t="shared" si="5"/>
        <v>63205.406368533339</v>
      </c>
      <c r="F22" s="308">
        <f t="shared" si="5"/>
        <v>155681.8631056</v>
      </c>
      <c r="G22" s="308">
        <f t="shared" si="5"/>
        <v>155681.8631056</v>
      </c>
      <c r="H22" s="308">
        <f t="shared" si="5"/>
        <v>155802.19376560001</v>
      </c>
      <c r="I22" s="308">
        <f t="shared" si="5"/>
        <v>155802.19376560001</v>
      </c>
      <c r="J22" s="308">
        <f t="shared" si="5"/>
        <v>155802.19376560001</v>
      </c>
      <c r="K22" s="308">
        <f t="shared" si="5"/>
        <v>155802.19376560001</v>
      </c>
      <c r="L22" s="308">
        <f t="shared" si="5"/>
        <v>191253.98842559999</v>
      </c>
      <c r="M22" s="308">
        <f t="shared" si="5"/>
        <v>169253.98842559999</v>
      </c>
      <c r="N22" s="308">
        <f t="shared" si="5"/>
        <v>181253.98842559999</v>
      </c>
      <c r="O22" s="308">
        <f t="shared" si="5"/>
        <v>181253.98842559999</v>
      </c>
      <c r="P22" s="308">
        <f t="shared" si="5"/>
        <v>156253.98842559999</v>
      </c>
      <c r="Q22" s="308">
        <f t="shared" si="5"/>
        <v>241592.6884256</v>
      </c>
      <c r="R22" s="308">
        <f t="shared" ref="R22" si="6">SUM(R16:R20)</f>
        <v>184253.98842559999</v>
      </c>
      <c r="S22" s="3"/>
      <c r="T22" s="3"/>
      <c r="U22" s="3"/>
      <c r="V22" s="3"/>
      <c r="W22" s="3"/>
      <c r="X22" s="3"/>
      <c r="Y22" s="3"/>
      <c r="Z22" s="3"/>
      <c r="AA22" s="3"/>
      <c r="AB22" s="3"/>
      <c r="AC22" s="3"/>
      <c r="AD22" s="3"/>
      <c r="AE22" s="3"/>
      <c r="AF22" s="3"/>
      <c r="AG22" s="3"/>
      <c r="AH22" s="3"/>
      <c r="AI22" s="3"/>
    </row>
    <row r="23" spans="1:35" s="250" customFormat="1" ht="4.5" customHeight="1" x14ac:dyDescent="0.35">
      <c r="A23" s="251"/>
      <c r="B23" s="246"/>
      <c r="C23" s="252"/>
      <c r="D23" s="252"/>
      <c r="E23" s="252"/>
      <c r="F23" s="252"/>
      <c r="G23" s="252"/>
      <c r="H23" s="252"/>
      <c r="I23" s="252"/>
      <c r="J23" s="252"/>
      <c r="K23" s="252"/>
      <c r="L23" s="252"/>
      <c r="M23" s="252"/>
      <c r="N23" s="252"/>
      <c r="O23" s="252"/>
      <c r="P23" s="252"/>
      <c r="Q23" s="253"/>
      <c r="R23" s="253"/>
      <c r="S23" s="3"/>
      <c r="T23" s="3"/>
      <c r="U23" s="3"/>
      <c r="V23" s="3"/>
      <c r="W23" s="3"/>
      <c r="X23" s="3"/>
      <c r="Y23" s="3"/>
      <c r="Z23" s="3"/>
      <c r="AA23" s="3"/>
      <c r="AB23" s="3"/>
      <c r="AC23" s="3"/>
      <c r="AD23" s="3"/>
      <c r="AE23" s="3"/>
      <c r="AF23" s="3"/>
      <c r="AG23" s="3"/>
      <c r="AH23" s="3"/>
      <c r="AI23" s="3"/>
    </row>
    <row r="24" spans="1:35" s="250" customFormat="1" ht="9" customHeight="1" x14ac:dyDescent="0.35">
      <c r="A24" s="261"/>
      <c r="B24" s="255"/>
      <c r="C24" s="262"/>
      <c r="D24" s="262"/>
      <c r="E24" s="262"/>
      <c r="F24" s="262"/>
      <c r="G24" s="262"/>
      <c r="H24" s="262"/>
      <c r="I24" s="262"/>
      <c r="J24" s="262"/>
      <c r="K24" s="262"/>
      <c r="L24" s="262"/>
      <c r="M24" s="262"/>
      <c r="N24" s="262"/>
      <c r="O24" s="262"/>
      <c r="P24" s="262"/>
      <c r="Q24" s="276"/>
      <c r="R24" s="276"/>
      <c r="S24" s="3"/>
      <c r="T24" s="3"/>
      <c r="U24" s="3"/>
      <c r="V24" s="3"/>
      <c r="W24" s="3"/>
      <c r="X24" s="3"/>
      <c r="Y24" s="3"/>
      <c r="Z24" s="3"/>
      <c r="AA24" s="3"/>
      <c r="AB24" s="3"/>
      <c r="AC24" s="3"/>
      <c r="AD24" s="3"/>
      <c r="AE24" s="3"/>
      <c r="AF24" s="3"/>
      <c r="AG24" s="3"/>
      <c r="AH24" s="3"/>
      <c r="AI24" s="3"/>
    </row>
    <row r="25" spans="1:35" s="266" customFormat="1" ht="33" customHeight="1" x14ac:dyDescent="0.35">
      <c r="A25" s="309" t="s">
        <v>185</v>
      </c>
      <c r="B25" s="310" t="s">
        <v>3</v>
      </c>
      <c r="C25" s="311">
        <f t="shared" ref="C25:Q25" si="7">C11-C22</f>
        <v>0</v>
      </c>
      <c r="D25" s="311">
        <f t="shared" si="7"/>
        <v>0</v>
      </c>
      <c r="E25" s="311">
        <f t="shared" si="7"/>
        <v>-26433.115425622113</v>
      </c>
      <c r="F25" s="311">
        <f t="shared" si="7"/>
        <v>-45364.990276866331</v>
      </c>
      <c r="G25" s="311">
        <f t="shared" si="7"/>
        <v>-45364.990276866331</v>
      </c>
      <c r="H25" s="311">
        <f t="shared" si="7"/>
        <v>-7721.4814060806821</v>
      </c>
      <c r="I25" s="311">
        <f t="shared" si="7"/>
        <v>-7721.4814060806821</v>
      </c>
      <c r="J25" s="311">
        <f t="shared" si="7"/>
        <v>-7721.4814060806821</v>
      </c>
      <c r="K25" s="311">
        <f t="shared" si="7"/>
        <v>-7721.4814060806821</v>
      </c>
      <c r="L25" s="311">
        <f t="shared" si="7"/>
        <v>-5380.2375563447422</v>
      </c>
      <c r="M25" s="311">
        <f t="shared" si="7"/>
        <v>16619.762443655258</v>
      </c>
      <c r="N25" s="311">
        <f t="shared" si="7"/>
        <v>4619.7624436552578</v>
      </c>
      <c r="O25" s="311">
        <f t="shared" si="7"/>
        <v>4619.7624436552578</v>
      </c>
      <c r="P25" s="311">
        <f t="shared" si="7"/>
        <v>29619.762443655258</v>
      </c>
      <c r="Q25" s="311">
        <f t="shared" si="7"/>
        <v>-55718.937556344754</v>
      </c>
      <c r="R25" s="311">
        <f t="shared" ref="R25" si="8">R11-R22</f>
        <v>1619.7624436552578</v>
      </c>
      <c r="S25" s="265"/>
      <c r="T25" s="265"/>
      <c r="U25" s="265"/>
      <c r="V25" s="265"/>
      <c r="W25" s="265"/>
      <c r="X25" s="265"/>
      <c r="Y25" s="265"/>
      <c r="Z25" s="265"/>
      <c r="AA25" s="265"/>
      <c r="AB25" s="265"/>
      <c r="AC25" s="265"/>
      <c r="AD25" s="265"/>
      <c r="AE25" s="265"/>
      <c r="AF25" s="265"/>
      <c r="AG25" s="265"/>
      <c r="AH25" s="265"/>
      <c r="AI25" s="265"/>
    </row>
    <row r="26" spans="1:35" ht="4.5" customHeight="1" x14ac:dyDescent="0.35">
      <c r="A26" s="238"/>
      <c r="B26" s="246"/>
      <c r="C26" s="18"/>
      <c r="D26" s="18"/>
      <c r="E26" s="18"/>
      <c r="F26" s="18"/>
      <c r="G26" s="18"/>
      <c r="H26" s="18"/>
      <c r="I26" s="18"/>
      <c r="J26" s="18"/>
      <c r="K26" s="18"/>
      <c r="L26" s="18"/>
      <c r="M26" s="18"/>
      <c r="N26" s="18"/>
      <c r="O26" s="18"/>
      <c r="P26" s="18"/>
      <c r="Q26" s="18"/>
      <c r="R26" s="18"/>
    </row>
    <row r="28" spans="1:35" ht="16.5" customHeight="1" x14ac:dyDescent="0.35">
      <c r="A28" s="813" t="s">
        <v>186</v>
      </c>
      <c r="B28" s="813"/>
      <c r="C28" s="814">
        <f>'5. Abikõlblik kulu'!C3</f>
        <v>0.04</v>
      </c>
      <c r="D28" s="814"/>
    </row>
    <row r="29" spans="1:35" ht="18.75" customHeight="1" x14ac:dyDescent="0.35">
      <c r="A29" s="813" t="s">
        <v>187</v>
      </c>
      <c r="B29" s="813"/>
      <c r="C29" s="815">
        <f>NPV(C28,D25:R25)</f>
        <v>-127658.99964921319</v>
      </c>
      <c r="D29" s="815"/>
    </row>
    <row r="30" spans="1:35" ht="18.75" customHeight="1" x14ac:dyDescent="0.35">
      <c r="A30" s="813" t="s">
        <v>188</v>
      </c>
      <c r="B30" s="813"/>
      <c r="C30" s="814" t="e">
        <f>IRR(D25:R25,J30)</f>
        <v>#NUM!</v>
      </c>
      <c r="D30" s="816"/>
      <c r="I30" s="72" t="s">
        <v>189</v>
      </c>
      <c r="J30" s="312">
        <v>-0.09</v>
      </c>
    </row>
    <row r="33" spans="1:18" ht="18.5" x14ac:dyDescent="0.35">
      <c r="A33" s="294" t="s">
        <v>190</v>
      </c>
      <c r="H33" s="295" t="s">
        <v>191</v>
      </c>
    </row>
    <row r="35" spans="1:18" ht="21" customHeight="1" x14ac:dyDescent="0.35">
      <c r="A35" s="233"/>
      <c r="B35" s="234"/>
      <c r="C35" s="296">
        <f>C3</f>
        <v>2024</v>
      </c>
      <c r="D35" s="296">
        <f>C35+1</f>
        <v>2025</v>
      </c>
      <c r="E35" s="296">
        <f t="shared" ref="E35:O35" si="9">D35+1</f>
        <v>2026</v>
      </c>
      <c r="F35" s="296">
        <f t="shared" si="9"/>
        <v>2027</v>
      </c>
      <c r="G35" s="296">
        <f t="shared" si="9"/>
        <v>2028</v>
      </c>
      <c r="H35" s="296">
        <f t="shared" si="9"/>
        <v>2029</v>
      </c>
      <c r="I35" s="296">
        <f t="shared" si="9"/>
        <v>2030</v>
      </c>
      <c r="J35" s="296">
        <f t="shared" si="9"/>
        <v>2031</v>
      </c>
      <c r="K35" s="296">
        <f t="shared" si="9"/>
        <v>2032</v>
      </c>
      <c r="L35" s="296">
        <f t="shared" si="9"/>
        <v>2033</v>
      </c>
      <c r="M35" s="296">
        <f t="shared" si="9"/>
        <v>2034</v>
      </c>
      <c r="N35" s="296">
        <f t="shared" si="9"/>
        <v>2035</v>
      </c>
      <c r="O35" s="296">
        <f t="shared" si="9"/>
        <v>2036</v>
      </c>
      <c r="P35" s="296">
        <f t="shared" ref="P35" si="10">O35+1</f>
        <v>2037</v>
      </c>
      <c r="Q35" s="296">
        <f t="shared" ref="Q35:R35" si="11">P35+1</f>
        <v>2038</v>
      </c>
      <c r="R35" s="296">
        <f t="shared" si="11"/>
        <v>2039</v>
      </c>
    </row>
    <row r="36" spans="1:18" ht="4.5" customHeight="1" x14ac:dyDescent="0.35">
      <c r="A36" s="238"/>
      <c r="B36" s="239"/>
      <c r="C36" s="297"/>
      <c r="D36" s="297"/>
      <c r="E36" s="297"/>
      <c r="F36" s="297"/>
      <c r="G36" s="297"/>
      <c r="H36" s="297"/>
      <c r="I36" s="297"/>
      <c r="J36" s="297"/>
      <c r="K36" s="297"/>
      <c r="L36" s="297"/>
      <c r="M36" s="297"/>
      <c r="N36" s="297"/>
      <c r="O36" s="297"/>
      <c r="P36" s="297"/>
      <c r="Q36" s="298"/>
      <c r="R36" s="298"/>
    </row>
    <row r="37" spans="1:18" ht="15.5" x14ac:dyDescent="0.35">
      <c r="A37" s="299" t="s">
        <v>176</v>
      </c>
      <c r="B37" s="300" t="s">
        <v>2</v>
      </c>
      <c r="C37" s="72"/>
      <c r="D37" s="72"/>
      <c r="E37" s="72"/>
      <c r="F37" s="72"/>
      <c r="G37" s="72"/>
      <c r="H37" s="72"/>
      <c r="I37" s="72"/>
      <c r="J37" s="72"/>
      <c r="K37" s="72"/>
      <c r="L37" s="72"/>
      <c r="M37" s="72"/>
      <c r="N37" s="72"/>
      <c r="O37" s="72"/>
      <c r="P37" s="72"/>
      <c r="Q37" s="72"/>
      <c r="R37" s="72"/>
    </row>
    <row r="38" spans="1:18" ht="4.5" customHeight="1" x14ac:dyDescent="0.35">
      <c r="A38" s="240"/>
      <c r="B38" s="239"/>
      <c r="C38" s="74"/>
      <c r="D38" s="74"/>
      <c r="E38" s="74"/>
      <c r="F38" s="74"/>
      <c r="G38" s="74"/>
      <c r="H38" s="74"/>
      <c r="I38" s="74"/>
      <c r="J38" s="74"/>
      <c r="K38" s="74"/>
      <c r="L38" s="74"/>
      <c r="M38" s="74"/>
      <c r="N38" s="74"/>
      <c r="O38" s="74"/>
      <c r="P38" s="74"/>
      <c r="Q38" s="134"/>
      <c r="R38" s="134"/>
    </row>
    <row r="39" spans="1:18" x14ac:dyDescent="0.35">
      <c r="A39" s="301" t="str">
        <f>A7</f>
        <v>Lisanduvad (juurdekasvulised) tulud</v>
      </c>
      <c r="B39" s="302" t="s">
        <v>3</v>
      </c>
      <c r="C39" s="303">
        <f>'4. Lisanduvad tulud-kulud'!D53</f>
        <v>0</v>
      </c>
      <c r="D39" s="303">
        <f>'4. Lisanduvad tulud-kulud'!E53</f>
        <v>0</v>
      </c>
      <c r="E39" s="303">
        <f>'4. Lisanduvad tulud-kulud'!F53</f>
        <v>36772.290942911226</v>
      </c>
      <c r="F39" s="303">
        <f>'4. Lisanduvad tulud-kulud'!G53</f>
        <v>110316.87282873367</v>
      </c>
      <c r="G39" s="303">
        <f>'4. Lisanduvad tulud-kulud'!H53</f>
        <v>110316.87282873367</v>
      </c>
      <c r="H39" s="303">
        <f>'4. Lisanduvad tulud-kulud'!I53</f>
        <v>148080.71235951933</v>
      </c>
      <c r="I39" s="303">
        <f>'4. Lisanduvad tulud-kulud'!J53</f>
        <v>148080.71235951933</v>
      </c>
      <c r="J39" s="303">
        <f>'4. Lisanduvad tulud-kulud'!K53</f>
        <v>148080.71235951933</v>
      </c>
      <c r="K39" s="303">
        <f>'4. Lisanduvad tulud-kulud'!L53</f>
        <v>148080.71235951933</v>
      </c>
      <c r="L39" s="303">
        <f>'4. Lisanduvad tulud-kulud'!M53</f>
        <v>185873.75086925525</v>
      </c>
      <c r="M39" s="303">
        <f>'4. Lisanduvad tulud-kulud'!N53</f>
        <v>185873.75086925525</v>
      </c>
      <c r="N39" s="303">
        <f>'4. Lisanduvad tulud-kulud'!O53</f>
        <v>185873.75086925525</v>
      </c>
      <c r="O39" s="303">
        <f>'4. Lisanduvad tulud-kulud'!P53</f>
        <v>185873.75086925525</v>
      </c>
      <c r="P39" s="303">
        <f>'4. Lisanduvad tulud-kulud'!Q53</f>
        <v>185873.75086925525</v>
      </c>
      <c r="Q39" s="303">
        <f>'4. Lisanduvad tulud-kulud'!R53</f>
        <v>185873.75086925525</v>
      </c>
      <c r="R39" s="303">
        <f>'4. Lisanduvad tulud-kulud'!S53</f>
        <v>185873.75086925525</v>
      </c>
    </row>
    <row r="40" spans="1:18" ht="4.5" customHeight="1" x14ac:dyDescent="0.35">
      <c r="A40" s="238"/>
      <c r="B40" s="246"/>
      <c r="C40" s="18"/>
      <c r="D40" s="18"/>
      <c r="E40" s="18"/>
      <c r="F40" s="18"/>
      <c r="G40" s="18"/>
      <c r="H40" s="18"/>
      <c r="I40" s="18"/>
      <c r="J40" s="18"/>
      <c r="K40" s="18"/>
      <c r="L40" s="18"/>
      <c r="M40" s="18"/>
      <c r="N40" s="18"/>
      <c r="O40" s="18"/>
      <c r="P40" s="18"/>
      <c r="Q40" s="19"/>
      <c r="R40" s="19"/>
    </row>
    <row r="41" spans="1:18" ht="15.5" x14ac:dyDescent="0.35">
      <c r="A41" s="306" t="s">
        <v>179</v>
      </c>
      <c r="B41" s="307" t="s">
        <v>3</v>
      </c>
      <c r="C41" s="308">
        <f t="shared" ref="C41:Q41" si="12">SUM(C39:C39)</f>
        <v>0</v>
      </c>
      <c r="D41" s="308">
        <f t="shared" si="12"/>
        <v>0</v>
      </c>
      <c r="E41" s="308">
        <f t="shared" si="12"/>
        <v>36772.290942911226</v>
      </c>
      <c r="F41" s="308">
        <f t="shared" si="12"/>
        <v>110316.87282873367</v>
      </c>
      <c r="G41" s="308">
        <f t="shared" si="12"/>
        <v>110316.87282873367</v>
      </c>
      <c r="H41" s="308">
        <f t="shared" si="12"/>
        <v>148080.71235951933</v>
      </c>
      <c r="I41" s="308">
        <f t="shared" si="12"/>
        <v>148080.71235951933</v>
      </c>
      <c r="J41" s="308">
        <f t="shared" si="12"/>
        <v>148080.71235951933</v>
      </c>
      <c r="K41" s="308">
        <f t="shared" si="12"/>
        <v>148080.71235951933</v>
      </c>
      <c r="L41" s="308">
        <f t="shared" si="12"/>
        <v>185873.75086925525</v>
      </c>
      <c r="M41" s="308">
        <f t="shared" si="12"/>
        <v>185873.75086925525</v>
      </c>
      <c r="N41" s="308">
        <f t="shared" si="12"/>
        <v>185873.75086925525</v>
      </c>
      <c r="O41" s="308">
        <f t="shared" si="12"/>
        <v>185873.75086925525</v>
      </c>
      <c r="P41" s="308">
        <f t="shared" si="12"/>
        <v>185873.75086925525</v>
      </c>
      <c r="Q41" s="308">
        <f t="shared" si="12"/>
        <v>185873.75086925525</v>
      </c>
      <c r="R41" s="308">
        <f t="shared" ref="R41" si="13">SUM(R39:R39)</f>
        <v>185873.75086925525</v>
      </c>
    </row>
    <row r="42" spans="1:18" ht="4.5" customHeight="1" x14ac:dyDescent="0.35">
      <c r="A42" s="251"/>
      <c r="B42" s="246"/>
      <c r="C42" s="252"/>
      <c r="D42" s="252"/>
      <c r="E42" s="252"/>
      <c r="F42" s="252"/>
      <c r="G42" s="252"/>
      <c r="H42" s="252"/>
      <c r="I42" s="252"/>
      <c r="J42" s="252"/>
      <c r="K42" s="252"/>
      <c r="L42" s="252"/>
      <c r="M42" s="252"/>
      <c r="N42" s="252"/>
      <c r="O42" s="252"/>
      <c r="P42" s="252"/>
      <c r="Q42" s="253"/>
      <c r="R42" s="253"/>
    </row>
    <row r="43" spans="1:18" x14ac:dyDescent="0.35">
      <c r="A43" s="254"/>
      <c r="B43" s="255"/>
      <c r="C43" s="256"/>
      <c r="D43" s="256"/>
      <c r="E43" s="256"/>
      <c r="F43" s="256"/>
      <c r="G43" s="256"/>
      <c r="H43" s="256"/>
      <c r="I43" s="256"/>
      <c r="J43" s="256"/>
      <c r="K43" s="256"/>
      <c r="L43" s="256"/>
      <c r="M43" s="256"/>
      <c r="N43" s="256"/>
      <c r="O43" s="256"/>
      <c r="P43" s="256"/>
      <c r="Q43" s="256"/>
      <c r="R43" s="256"/>
    </row>
    <row r="44" spans="1:18" ht="15.5" x14ac:dyDescent="0.35">
      <c r="A44" s="299" t="s">
        <v>180</v>
      </c>
      <c r="B44" s="257"/>
      <c r="C44" s="11"/>
      <c r="D44" s="11"/>
      <c r="E44" s="11"/>
      <c r="F44" s="11"/>
      <c r="G44" s="11"/>
      <c r="H44" s="11"/>
      <c r="I44" s="11"/>
      <c r="J44" s="11"/>
      <c r="K44" s="11"/>
      <c r="L44" s="11"/>
      <c r="M44" s="11"/>
      <c r="N44" s="11"/>
      <c r="O44" s="11"/>
      <c r="P44" s="11"/>
      <c r="Q44" s="11"/>
      <c r="R44" s="11"/>
    </row>
    <row r="45" spans="1:18" ht="4.5" customHeight="1" x14ac:dyDescent="0.35">
      <c r="A45" s="240"/>
      <c r="B45" s="246"/>
      <c r="C45" s="18"/>
      <c r="D45" s="18"/>
      <c r="E45" s="18"/>
      <c r="F45" s="18"/>
      <c r="G45" s="18"/>
      <c r="H45" s="18"/>
      <c r="I45" s="18"/>
      <c r="J45" s="18"/>
      <c r="K45" s="18"/>
      <c r="L45" s="18"/>
      <c r="M45" s="18"/>
      <c r="N45" s="18"/>
      <c r="O45" s="18"/>
      <c r="P45" s="18"/>
      <c r="Q45" s="19"/>
      <c r="R45" s="19"/>
    </row>
    <row r="46" spans="1:18" x14ac:dyDescent="0.35">
      <c r="A46" s="304" t="str">
        <f>A16</f>
        <v>Lisanduvad (juurdekasvulised) kulud</v>
      </c>
      <c r="B46" s="302" t="s">
        <v>3</v>
      </c>
      <c r="C46" s="303">
        <f>'4. Lisanduvad tulud-kulud'!D118</f>
        <v>0</v>
      </c>
      <c r="D46" s="303">
        <f>'4. Lisanduvad tulud-kulud'!E118</f>
        <v>0</v>
      </c>
      <c r="E46" s="303">
        <f>'4. Lisanduvad tulud-kulud'!F118</f>
        <v>63205.406368533339</v>
      </c>
      <c r="F46" s="303">
        <f>'4. Lisanduvad tulud-kulud'!G118</f>
        <v>155681.8631056</v>
      </c>
      <c r="G46" s="303">
        <f>'4. Lisanduvad tulud-kulud'!H118</f>
        <v>155681.8631056</v>
      </c>
      <c r="H46" s="303">
        <f>'4. Lisanduvad tulud-kulud'!I118</f>
        <v>155802.19376560001</v>
      </c>
      <c r="I46" s="303">
        <f>'4. Lisanduvad tulud-kulud'!J118</f>
        <v>155802.19376560001</v>
      </c>
      <c r="J46" s="303">
        <f>'4. Lisanduvad tulud-kulud'!K118</f>
        <v>155802.19376560001</v>
      </c>
      <c r="K46" s="303">
        <f>'4. Lisanduvad tulud-kulud'!L118</f>
        <v>155802.19376560001</v>
      </c>
      <c r="L46" s="303">
        <f>'4. Lisanduvad tulud-kulud'!M118</f>
        <v>151253.98842559999</v>
      </c>
      <c r="M46" s="303">
        <f>'4. Lisanduvad tulud-kulud'!N118</f>
        <v>151253.98842559999</v>
      </c>
      <c r="N46" s="303">
        <f>'4. Lisanduvad tulud-kulud'!O118</f>
        <v>151253.98842559999</v>
      </c>
      <c r="O46" s="303">
        <f>'4. Lisanduvad tulud-kulud'!P118</f>
        <v>151253.98842559999</v>
      </c>
      <c r="P46" s="303">
        <f>'4. Lisanduvad tulud-kulud'!Q118</f>
        <v>151253.98842559999</v>
      </c>
      <c r="Q46" s="303">
        <f>'4. Lisanduvad tulud-kulud'!R118</f>
        <v>241592.6884256</v>
      </c>
      <c r="R46" s="303">
        <f>'4. Lisanduvad tulud-kulud'!S118</f>
        <v>151253.98842559999</v>
      </c>
    </row>
    <row r="47" spans="1:18" x14ac:dyDescent="0.35">
      <c r="A47" s="304" t="s">
        <v>192</v>
      </c>
      <c r="B47" s="302" t="s">
        <v>3</v>
      </c>
      <c r="C47" s="303">
        <f>'1. Projekti elluviimise kulud'!D19</f>
        <v>0</v>
      </c>
      <c r="D47" s="303">
        <f>'1. Projekti elluviimise kulud'!E19</f>
        <v>4302999.5</v>
      </c>
      <c r="E47" s="303">
        <f>'1. Projekti elluviimise kulud'!F19</f>
        <v>905387</v>
      </c>
      <c r="F47" s="303">
        <f>'1. Projekti elluviimise kulud'!G19</f>
        <v>0</v>
      </c>
      <c r="G47" s="303">
        <f>'1. Projekti elluviimise kulud'!H19</f>
        <v>0</v>
      </c>
      <c r="H47" s="303">
        <f>'1. Projekti elluviimise kulud'!I19</f>
        <v>0</v>
      </c>
      <c r="I47" s="258"/>
      <c r="J47" s="258"/>
      <c r="K47" s="258"/>
      <c r="L47" s="258"/>
      <c r="M47" s="258"/>
      <c r="N47" s="258"/>
      <c r="O47" s="258"/>
      <c r="P47" s="258"/>
      <c r="Q47" s="258"/>
      <c r="R47" s="258"/>
    </row>
    <row r="48" spans="1:18" x14ac:dyDescent="0.35">
      <c r="A48" s="304" t="s">
        <v>178</v>
      </c>
      <c r="B48" s="302" t="s">
        <v>3</v>
      </c>
      <c r="C48" s="258"/>
      <c r="D48" s="258"/>
      <c r="E48" s="258"/>
      <c r="F48" s="258"/>
      <c r="G48" s="258"/>
      <c r="H48" s="258"/>
      <c r="I48" s="258"/>
      <c r="J48" s="258"/>
      <c r="K48" s="258"/>
      <c r="L48" s="258"/>
      <c r="M48" s="258"/>
      <c r="N48" s="258"/>
      <c r="O48" s="258"/>
      <c r="P48" s="258"/>
      <c r="Q48" s="303">
        <f>-Q8</f>
        <v>0</v>
      </c>
      <c r="R48" s="303">
        <f>-R8</f>
        <v>0</v>
      </c>
    </row>
    <row r="49" spans="1:18" ht="4.5" customHeight="1" x14ac:dyDescent="0.35">
      <c r="A49" s="259"/>
      <c r="B49" s="260"/>
      <c r="C49" s="258"/>
      <c r="D49" s="258"/>
      <c r="E49" s="258"/>
      <c r="F49" s="258"/>
      <c r="G49" s="258"/>
      <c r="H49" s="258"/>
      <c r="I49" s="258"/>
      <c r="J49" s="258"/>
      <c r="K49" s="258"/>
      <c r="L49" s="258"/>
      <c r="M49" s="258"/>
      <c r="N49" s="258"/>
      <c r="O49" s="258"/>
      <c r="P49" s="258"/>
      <c r="Q49" s="258"/>
      <c r="R49" s="258"/>
    </row>
    <row r="50" spans="1:18" ht="15.5" x14ac:dyDescent="0.35">
      <c r="A50" s="306" t="s">
        <v>184</v>
      </c>
      <c r="B50" s="307" t="s">
        <v>3</v>
      </c>
      <c r="C50" s="308">
        <f t="shared" ref="C50:Q50" si="14">SUM(C46:C48)</f>
        <v>0</v>
      </c>
      <c r="D50" s="308">
        <f t="shared" si="14"/>
        <v>4302999.5</v>
      </c>
      <c r="E50" s="308">
        <f t="shared" si="14"/>
        <v>968592.40636853338</v>
      </c>
      <c r="F50" s="308">
        <f t="shared" si="14"/>
        <v>155681.8631056</v>
      </c>
      <c r="G50" s="308">
        <f t="shared" si="14"/>
        <v>155681.8631056</v>
      </c>
      <c r="H50" s="308">
        <f t="shared" si="14"/>
        <v>155802.19376560001</v>
      </c>
      <c r="I50" s="308">
        <f t="shared" si="14"/>
        <v>155802.19376560001</v>
      </c>
      <c r="J50" s="308">
        <f t="shared" si="14"/>
        <v>155802.19376560001</v>
      </c>
      <c r="K50" s="308">
        <f t="shared" si="14"/>
        <v>155802.19376560001</v>
      </c>
      <c r="L50" s="308">
        <f t="shared" si="14"/>
        <v>151253.98842559999</v>
      </c>
      <c r="M50" s="308">
        <f t="shared" si="14"/>
        <v>151253.98842559999</v>
      </c>
      <c r="N50" s="308">
        <f t="shared" si="14"/>
        <v>151253.98842559999</v>
      </c>
      <c r="O50" s="308">
        <f t="shared" si="14"/>
        <v>151253.98842559999</v>
      </c>
      <c r="P50" s="308">
        <f t="shared" si="14"/>
        <v>151253.98842559999</v>
      </c>
      <c r="Q50" s="308">
        <f t="shared" si="14"/>
        <v>241592.6884256</v>
      </c>
      <c r="R50" s="308">
        <f t="shared" ref="R50" si="15">SUM(R46:R48)</f>
        <v>151253.98842559999</v>
      </c>
    </row>
    <row r="51" spans="1:18" ht="4.5" customHeight="1" x14ac:dyDescent="0.35">
      <c r="A51" s="251"/>
      <c r="B51" s="246"/>
      <c r="C51" s="252"/>
      <c r="D51" s="252"/>
      <c r="E51" s="252"/>
      <c r="F51" s="252"/>
      <c r="G51" s="252"/>
      <c r="H51" s="252"/>
      <c r="I51" s="252"/>
      <c r="J51" s="252"/>
      <c r="K51" s="252"/>
      <c r="L51" s="252"/>
      <c r="M51" s="252"/>
      <c r="N51" s="252"/>
      <c r="O51" s="252"/>
      <c r="P51" s="252"/>
      <c r="Q51" s="253"/>
      <c r="R51" s="253"/>
    </row>
    <row r="52" spans="1:18" ht="15.5" x14ac:dyDescent="0.35">
      <c r="A52" s="261"/>
      <c r="B52" s="255"/>
      <c r="C52" s="262"/>
      <c r="D52" s="262"/>
      <c r="E52" s="262"/>
      <c r="F52" s="262"/>
      <c r="G52" s="262"/>
      <c r="H52" s="262"/>
      <c r="I52" s="262"/>
      <c r="J52" s="262"/>
      <c r="K52" s="262"/>
      <c r="L52" s="262"/>
      <c r="M52" s="262"/>
      <c r="N52" s="262"/>
      <c r="O52" s="262"/>
      <c r="P52" s="262"/>
      <c r="Q52" s="276"/>
      <c r="R52" s="276"/>
    </row>
    <row r="53" spans="1:18" ht="29" x14ac:dyDescent="0.35">
      <c r="A53" s="309" t="s">
        <v>185</v>
      </c>
      <c r="B53" s="310" t="s">
        <v>3</v>
      </c>
      <c r="C53" s="311">
        <f t="shared" ref="C53:Q53" si="16">C41-C50</f>
        <v>0</v>
      </c>
      <c r="D53" s="311">
        <f t="shared" si="16"/>
        <v>-4302999.5</v>
      </c>
      <c r="E53" s="311">
        <f t="shared" si="16"/>
        <v>-931820.11542562221</v>
      </c>
      <c r="F53" s="311">
        <f t="shared" si="16"/>
        <v>-45364.990276866331</v>
      </c>
      <c r="G53" s="311">
        <f t="shared" si="16"/>
        <v>-45364.990276866331</v>
      </c>
      <c r="H53" s="311">
        <f t="shared" si="16"/>
        <v>-7721.4814060806821</v>
      </c>
      <c r="I53" s="311">
        <f t="shared" si="16"/>
        <v>-7721.4814060806821</v>
      </c>
      <c r="J53" s="311">
        <f t="shared" si="16"/>
        <v>-7721.4814060806821</v>
      </c>
      <c r="K53" s="311">
        <f t="shared" si="16"/>
        <v>-7721.4814060806821</v>
      </c>
      <c r="L53" s="311">
        <f t="shared" si="16"/>
        <v>34619.762443655258</v>
      </c>
      <c r="M53" s="311">
        <f t="shared" si="16"/>
        <v>34619.762443655258</v>
      </c>
      <c r="N53" s="311">
        <f t="shared" si="16"/>
        <v>34619.762443655258</v>
      </c>
      <c r="O53" s="311">
        <f t="shared" si="16"/>
        <v>34619.762443655258</v>
      </c>
      <c r="P53" s="311">
        <f t="shared" si="16"/>
        <v>34619.762443655258</v>
      </c>
      <c r="Q53" s="311">
        <f t="shared" si="16"/>
        <v>-55718.937556344754</v>
      </c>
      <c r="R53" s="311">
        <f t="shared" ref="R53" si="17">R41-R50</f>
        <v>34619.762443655258</v>
      </c>
    </row>
    <row r="54" spans="1:18" ht="4.5" customHeight="1" x14ac:dyDescent="0.35">
      <c r="A54" s="238"/>
      <c r="B54" s="246"/>
      <c r="C54" s="18"/>
      <c r="D54" s="18"/>
      <c r="E54" s="18"/>
      <c r="F54" s="18"/>
      <c r="G54" s="18"/>
      <c r="H54" s="18"/>
      <c r="I54" s="18"/>
      <c r="J54" s="18"/>
      <c r="K54" s="18"/>
      <c r="L54" s="18"/>
      <c r="M54" s="18"/>
      <c r="N54" s="18"/>
      <c r="O54" s="18"/>
      <c r="P54" s="18"/>
      <c r="Q54" s="18"/>
      <c r="R54" s="18"/>
    </row>
    <row r="56" spans="1:18" x14ac:dyDescent="0.35">
      <c r="A56" s="813" t="s">
        <v>186</v>
      </c>
      <c r="B56" s="813"/>
      <c r="C56" s="814">
        <f>C28</f>
        <v>0.04</v>
      </c>
      <c r="D56" s="814"/>
    </row>
    <row r="57" spans="1:18" ht="34.5" customHeight="1" x14ac:dyDescent="0.35">
      <c r="A57" s="817" t="s">
        <v>193</v>
      </c>
      <c r="B57" s="817"/>
      <c r="C57" s="815">
        <f>NPV(C56,D53:R53)</f>
        <v>-5002424.1319989571</v>
      </c>
      <c r="D57" s="815"/>
      <c r="H57"/>
      <c r="I57"/>
      <c r="J57"/>
      <c r="K57"/>
    </row>
    <row r="58" spans="1:18" ht="19.5" customHeight="1" x14ac:dyDescent="0.35">
      <c r="A58" s="813" t="s">
        <v>194</v>
      </c>
      <c r="B58" s="813"/>
      <c r="C58" s="814" t="e">
        <f>IRR(D53:R53,J30)</f>
        <v>#NUM!</v>
      </c>
      <c r="D58" s="816"/>
      <c r="H58"/>
      <c r="I58"/>
      <c r="J58"/>
      <c r="K58"/>
    </row>
    <row r="59" spans="1:18" x14ac:dyDescent="0.35">
      <c r="H59"/>
      <c r="I59"/>
      <c r="J59"/>
      <c r="K59"/>
    </row>
    <row r="60" spans="1:18" x14ac:dyDescent="0.35">
      <c r="H60"/>
      <c r="I60"/>
      <c r="J60"/>
      <c r="K60"/>
    </row>
  </sheetData>
  <mergeCells count="12">
    <mergeCell ref="A56:B56"/>
    <mergeCell ref="C56:D56"/>
    <mergeCell ref="A57:B57"/>
    <mergeCell ref="C57:D57"/>
    <mergeCell ref="A58:B58"/>
    <mergeCell ref="C58:D58"/>
    <mergeCell ref="A28:B28"/>
    <mergeCell ref="C28:D28"/>
    <mergeCell ref="A29:B29"/>
    <mergeCell ref="C29:D29"/>
    <mergeCell ref="A30:B30"/>
    <mergeCell ref="C30:D30"/>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G26"/>
  <sheetViews>
    <sheetView topLeftCell="A5" zoomScale="117" zoomScaleNormal="76" workbookViewId="0">
      <selection activeCell="G14" sqref="G14"/>
    </sheetView>
  </sheetViews>
  <sheetFormatPr defaultColWidth="9.1796875" defaultRowHeight="14.5" x14ac:dyDescent="0.35"/>
  <cols>
    <col min="1" max="1" width="9.1796875" style="1"/>
    <col min="2" max="2" width="34.81640625" style="71" customWidth="1"/>
    <col min="3" max="3" width="20.453125" style="1" customWidth="1"/>
    <col min="4" max="4" width="20.6328125" style="1" customWidth="1"/>
    <col min="5" max="5" width="9.1796875" style="70"/>
    <col min="6" max="6" width="11.1796875" style="70" hidden="1" customWidth="1"/>
    <col min="7" max="16384" width="9.1796875" style="70"/>
  </cols>
  <sheetData>
    <row r="1" spans="1:7" ht="18.5" x14ac:dyDescent="0.35">
      <c r="A1" s="110" t="s">
        <v>77</v>
      </c>
    </row>
    <row r="2" spans="1:7" ht="18.5" x14ac:dyDescent="0.35">
      <c r="A2" s="101"/>
    </row>
    <row r="3" spans="1:7" ht="18.75" customHeight="1" x14ac:dyDescent="0.35">
      <c r="B3" s="116" t="s">
        <v>73</v>
      </c>
      <c r="C3" s="111">
        <v>0.04</v>
      </c>
    </row>
    <row r="4" spans="1:7" ht="18.75" customHeight="1" x14ac:dyDescent="0.35">
      <c r="B4" s="126" t="s">
        <v>100</v>
      </c>
      <c r="C4" s="127">
        <f>Esileht!B10</f>
        <v>2025</v>
      </c>
    </row>
    <row r="5" spans="1:7" ht="18.75" customHeight="1" x14ac:dyDescent="0.35">
      <c r="B5" s="126" t="s">
        <v>101</v>
      </c>
      <c r="C5" s="127">
        <f>Esileht!B11</f>
        <v>2039</v>
      </c>
    </row>
    <row r="6" spans="1:7" ht="18.75" customHeight="1" x14ac:dyDescent="0.35">
      <c r="B6" s="113" t="s">
        <v>102</v>
      </c>
      <c r="C6" s="112">
        <f>IF(C5&gt;0,C5-C4+1,"")</f>
        <v>15</v>
      </c>
      <c r="D6" s="71" t="s">
        <v>74</v>
      </c>
    </row>
    <row r="8" spans="1:7" ht="36.75" customHeight="1" x14ac:dyDescent="0.35">
      <c r="A8" s="112" t="s">
        <v>75</v>
      </c>
      <c r="B8" s="113" t="s">
        <v>76</v>
      </c>
      <c r="C8" s="114" t="s">
        <v>89</v>
      </c>
      <c r="D8" s="114" t="s">
        <v>90</v>
      </c>
    </row>
    <row r="9" spans="1:7" ht="21.75" customHeight="1" x14ac:dyDescent="0.35">
      <c r="A9" s="112">
        <v>1</v>
      </c>
      <c r="B9" s="117" t="s">
        <v>78</v>
      </c>
      <c r="C9" s="106">
        <f>'1. Projekti elluviimise kulud'!J19</f>
        <v>5208386.5</v>
      </c>
      <c r="D9" s="144">
        <f>NPV(C3,'1. Projekti elluviimise kulud'!E19:I19)</f>
        <v>4974580.6952662719</v>
      </c>
    </row>
    <row r="10" spans="1:7" ht="21.75" customHeight="1" x14ac:dyDescent="0.35">
      <c r="A10" s="112">
        <v>2</v>
      </c>
      <c r="B10" s="117" t="s">
        <v>79</v>
      </c>
      <c r="C10" s="106">
        <f>'8. Jääkväärtus'!Q14</f>
        <v>0</v>
      </c>
      <c r="D10" s="144">
        <f>'8. Jääkväärtus'!C17</f>
        <v>0</v>
      </c>
      <c r="G10" s="357" t="str">
        <f>'8. Jääkväärtus'!C9</f>
        <v>Jääkväärtust ei ole vaja arvutada</v>
      </c>
    </row>
    <row r="11" spans="1:7" ht="21.75" customHeight="1" x14ac:dyDescent="0.35">
      <c r="A11" s="112">
        <v>3</v>
      </c>
      <c r="B11" s="117" t="s">
        <v>80</v>
      </c>
      <c r="C11" s="108"/>
      <c r="D11" s="144">
        <f>NPV(C3,'4. Lisanduvad tulud-kulud'!E53:S53)</f>
        <v>1501016.6922392419</v>
      </c>
      <c r="G11" s="700"/>
    </row>
    <row r="12" spans="1:7" ht="21.75" customHeight="1" x14ac:dyDescent="0.35">
      <c r="A12" s="112">
        <v>4</v>
      </c>
      <c r="B12" s="117" t="s">
        <v>81</v>
      </c>
      <c r="C12" s="108"/>
      <c r="D12" s="144">
        <f>NPV(C3,'4. Lisanduvad tulud-kulud'!E118:S118)</f>
        <v>1528860.1289719266</v>
      </c>
      <c r="F12" s="128">
        <f>D10+D11-D12</f>
        <v>-27843.436732684728</v>
      </c>
      <c r="G12" s="700"/>
    </row>
    <row r="13" spans="1:7" ht="21.75" customHeight="1" x14ac:dyDescent="0.35">
      <c r="A13" s="112">
        <v>5</v>
      </c>
      <c r="B13" s="117" t="s">
        <v>82</v>
      </c>
      <c r="C13" s="108"/>
      <c r="D13" s="718">
        <f>IF((D10+D11-D12)&lt;0,0,D10+D11-D12)</f>
        <v>0</v>
      </c>
      <c r="F13" s="128">
        <f>NPV(C3,'4. Lisanduvad tulud-kulud'!D121:R121)</f>
        <v>-45256.309528857797</v>
      </c>
      <c r="G13" s="700"/>
    </row>
    <row r="14" spans="1:7" ht="21.75" customHeight="1" x14ac:dyDescent="0.35">
      <c r="A14" s="112">
        <v>6</v>
      </c>
      <c r="B14" s="117" t="s">
        <v>83</v>
      </c>
      <c r="C14" s="108"/>
      <c r="D14" s="144">
        <f>D9-D13</f>
        <v>4974580.6952662719</v>
      </c>
    </row>
    <row r="15" spans="1:7" ht="21.75" customHeight="1" x14ac:dyDescent="0.35">
      <c r="A15" s="112">
        <v>7</v>
      </c>
      <c r="B15" s="117" t="s">
        <v>84</v>
      </c>
      <c r="C15" s="108"/>
      <c r="D15" s="109">
        <f>D14/D9</f>
        <v>1</v>
      </c>
    </row>
    <row r="16" spans="1:7" ht="36.75" customHeight="1" x14ac:dyDescent="0.35">
      <c r="A16" s="112">
        <v>8</v>
      </c>
      <c r="B16" s="117" t="s">
        <v>85</v>
      </c>
      <c r="C16" s="106">
        <f>'1. Projekti elluviimise kulud'!J41</f>
        <v>5208386.5</v>
      </c>
      <c r="D16" s="108"/>
    </row>
    <row r="17" spans="1:4" ht="68.25" customHeight="1" x14ac:dyDescent="0.35">
      <c r="A17" s="112">
        <v>9</v>
      </c>
      <c r="B17" s="115" t="s">
        <v>88</v>
      </c>
      <c r="C17" s="106">
        <f>C16*D15</f>
        <v>5208386.5</v>
      </c>
      <c r="D17" s="108"/>
    </row>
    <row r="18" spans="1:4" ht="21.75" customHeight="1" x14ac:dyDescent="0.35">
      <c r="A18" s="112">
        <v>10</v>
      </c>
      <c r="B18" s="117" t="s">
        <v>86</v>
      </c>
      <c r="C18" s="107">
        <v>1</v>
      </c>
      <c r="D18" s="108"/>
    </row>
    <row r="19" spans="1:4" ht="24.75" customHeight="1" x14ac:dyDescent="0.35">
      <c r="A19" s="112">
        <v>11</v>
      </c>
      <c r="B19" s="117" t="s">
        <v>87</v>
      </c>
      <c r="C19" s="129">
        <f>C17*C18</f>
        <v>5208386.5</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topLeftCell="C17" zoomScaleNormal="100" workbookViewId="0">
      <selection activeCell="B43" sqref="B43"/>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31" t="s">
        <v>133</v>
      </c>
    </row>
    <row r="2" spans="1:35" ht="8.25" customHeight="1" x14ac:dyDescent="0.35"/>
    <row r="3" spans="1:35" s="237" customFormat="1" ht="23.25" customHeight="1" x14ac:dyDescent="0.35">
      <c r="A3" s="233"/>
      <c r="B3" s="234"/>
      <c r="C3" s="235">
        <f>'1. Projekti elluviimise kulud'!D2</f>
        <v>2024</v>
      </c>
      <c r="D3" s="235">
        <f>C3+1</f>
        <v>2025</v>
      </c>
      <c r="E3" s="235">
        <f t="shared" ref="E3:O3" si="0">D3+1</f>
        <v>2026</v>
      </c>
      <c r="F3" s="235">
        <f t="shared" si="0"/>
        <v>2027</v>
      </c>
      <c r="G3" s="235">
        <f t="shared" si="0"/>
        <v>2028</v>
      </c>
      <c r="H3" s="235">
        <f t="shared" si="0"/>
        <v>2029</v>
      </c>
      <c r="I3" s="235">
        <f t="shared" si="0"/>
        <v>2030</v>
      </c>
      <c r="J3" s="235">
        <f t="shared" si="0"/>
        <v>2031</v>
      </c>
      <c r="K3" s="235">
        <f t="shared" si="0"/>
        <v>2032</v>
      </c>
      <c r="L3" s="235">
        <f t="shared" si="0"/>
        <v>2033</v>
      </c>
      <c r="M3" s="235">
        <f t="shared" si="0"/>
        <v>2034</v>
      </c>
      <c r="N3" s="235">
        <f t="shared" si="0"/>
        <v>2035</v>
      </c>
      <c r="O3" s="235">
        <f t="shared" si="0"/>
        <v>2036</v>
      </c>
      <c r="P3" s="235">
        <f t="shared" ref="P3" si="1">O3+1</f>
        <v>2037</v>
      </c>
      <c r="Q3" s="235">
        <f t="shared" ref="Q3:R3" si="2">P3+1</f>
        <v>2038</v>
      </c>
      <c r="R3" s="235">
        <f t="shared" si="2"/>
        <v>2039</v>
      </c>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74"/>
      <c r="D4" s="74"/>
      <c r="E4" s="74"/>
      <c r="F4" s="74"/>
      <c r="G4" s="74"/>
      <c r="H4" s="74"/>
      <c r="I4" s="74"/>
      <c r="J4" s="74"/>
      <c r="K4" s="74"/>
      <c r="L4" s="74"/>
      <c r="M4" s="74"/>
      <c r="N4" s="74"/>
      <c r="O4" s="74"/>
      <c r="P4" s="74"/>
      <c r="Q4" s="134"/>
      <c r="R4" s="134"/>
    </row>
    <row r="5" spans="1:35" ht="20.25" customHeight="1" x14ac:dyDescent="0.35">
      <c r="A5" s="233" t="s">
        <v>117</v>
      </c>
      <c r="B5" s="234" t="s">
        <v>2</v>
      </c>
      <c r="C5" s="72"/>
      <c r="D5" s="72"/>
      <c r="E5" s="72"/>
      <c r="F5" s="72"/>
      <c r="G5" s="72"/>
      <c r="H5" s="72"/>
      <c r="I5" s="72"/>
      <c r="J5" s="72"/>
      <c r="K5" s="72"/>
      <c r="L5" s="72"/>
      <c r="M5" s="72"/>
      <c r="N5" s="72"/>
      <c r="O5" s="72"/>
      <c r="P5" s="72"/>
      <c r="Q5" s="72"/>
      <c r="R5" s="72"/>
    </row>
    <row r="6" spans="1:35" ht="4.5" customHeight="1" x14ac:dyDescent="0.35">
      <c r="A6" s="240"/>
      <c r="B6" s="239"/>
      <c r="C6" s="74"/>
      <c r="D6" s="74"/>
      <c r="E6" s="74"/>
      <c r="F6" s="74"/>
      <c r="G6" s="74"/>
      <c r="H6" s="74"/>
      <c r="I6" s="74"/>
      <c r="J6" s="74"/>
      <c r="K6" s="74"/>
      <c r="L6" s="74"/>
      <c r="M6" s="74"/>
      <c r="N6" s="74"/>
      <c r="O6" s="74"/>
      <c r="P6" s="74"/>
      <c r="Q6" s="134"/>
      <c r="R6" s="134"/>
    </row>
    <row r="7" spans="1:35" s="244" customFormat="1" ht="16.5" customHeight="1" x14ac:dyDescent="0.35">
      <c r="A7" s="241" t="s">
        <v>524</v>
      </c>
      <c r="B7" s="242" t="s">
        <v>3</v>
      </c>
      <c r="C7" s="243">
        <f>'1. Projekti elluviimise kulud'!D41</f>
        <v>0</v>
      </c>
      <c r="D7" s="243">
        <f>'1. Projekti elluviimise kulud'!E41</f>
        <v>4302999.5</v>
      </c>
      <c r="E7" s="243">
        <f>'1. Projekti elluviimise kulud'!F41</f>
        <v>905387</v>
      </c>
      <c r="F7" s="243"/>
      <c r="G7" s="243"/>
      <c r="H7" s="243"/>
      <c r="I7" s="243"/>
      <c r="J7" s="243"/>
      <c r="K7" s="243"/>
      <c r="L7" s="243"/>
      <c r="M7" s="243"/>
      <c r="N7" s="243"/>
      <c r="O7" s="243"/>
      <c r="P7" s="243"/>
      <c r="Q7" s="243"/>
      <c r="R7" s="243"/>
    </row>
    <row r="8" spans="1:35" s="244" customFormat="1" ht="16.5" hidden="1" customHeight="1" x14ac:dyDescent="0.35">
      <c r="A8" s="241" t="s">
        <v>135</v>
      </c>
      <c r="B8" s="242" t="s">
        <v>3</v>
      </c>
      <c r="C8" s="243"/>
      <c r="D8" s="243"/>
      <c r="E8" s="243"/>
      <c r="F8" s="243"/>
      <c r="G8" s="243"/>
      <c r="H8" s="243"/>
      <c r="I8" s="243"/>
      <c r="J8" s="243"/>
      <c r="K8" s="243"/>
      <c r="L8" s="243"/>
      <c r="M8" s="243"/>
      <c r="N8" s="243"/>
      <c r="O8" s="243"/>
      <c r="P8" s="243"/>
      <c r="Q8" s="243"/>
      <c r="R8" s="243"/>
    </row>
    <row r="9" spans="1:35" s="244" customFormat="1" ht="16.5" hidden="1" customHeight="1" x14ac:dyDescent="0.35">
      <c r="A9" s="241" t="s">
        <v>135</v>
      </c>
      <c r="B9" s="242" t="s">
        <v>3</v>
      </c>
      <c r="C9" s="243"/>
      <c r="D9" s="243"/>
      <c r="E9" s="243"/>
      <c r="F9" s="243"/>
      <c r="G9" s="243"/>
      <c r="H9" s="243"/>
      <c r="I9" s="243"/>
      <c r="J9" s="243"/>
      <c r="K9" s="243"/>
      <c r="L9" s="243"/>
      <c r="M9" s="243"/>
      <c r="N9" s="243"/>
      <c r="O9" s="243"/>
      <c r="P9" s="243"/>
      <c r="Q9" s="243"/>
      <c r="R9" s="243"/>
    </row>
    <row r="10" spans="1:35" s="244" customFormat="1" ht="16.5" hidden="1" customHeight="1" x14ac:dyDescent="0.35">
      <c r="A10" s="241" t="s">
        <v>135</v>
      </c>
      <c r="B10" s="242" t="s">
        <v>3</v>
      </c>
      <c r="C10" s="243"/>
      <c r="D10" s="243"/>
      <c r="E10" s="243"/>
      <c r="F10" s="243"/>
      <c r="G10" s="243"/>
      <c r="H10" s="243"/>
      <c r="I10" s="243"/>
      <c r="J10" s="243"/>
      <c r="K10" s="243"/>
      <c r="L10" s="243"/>
      <c r="M10" s="243"/>
      <c r="N10" s="243"/>
      <c r="O10" s="243"/>
      <c r="P10" s="243"/>
      <c r="Q10" s="243"/>
      <c r="R10" s="243"/>
    </row>
    <row r="11" spans="1:35" s="244" customFormat="1" ht="16.5" hidden="1" customHeight="1" x14ac:dyDescent="0.35">
      <c r="A11" s="241" t="s">
        <v>135</v>
      </c>
      <c r="B11" s="242" t="s">
        <v>3</v>
      </c>
      <c r="C11" s="243"/>
      <c r="D11" s="243"/>
      <c r="E11" s="243"/>
      <c r="F11" s="243"/>
      <c r="G11" s="243"/>
      <c r="H11" s="243"/>
      <c r="I11" s="243"/>
      <c r="J11" s="243"/>
      <c r="K11" s="243"/>
      <c r="L11" s="243"/>
      <c r="M11" s="243"/>
      <c r="N11" s="243"/>
      <c r="O11" s="243"/>
      <c r="P11" s="243"/>
      <c r="Q11" s="243"/>
      <c r="R11" s="243"/>
    </row>
    <row r="12" spans="1:35" s="244" customFormat="1" ht="16.5" hidden="1" customHeight="1" x14ac:dyDescent="0.35">
      <c r="A12" s="241" t="s">
        <v>135</v>
      </c>
      <c r="B12" s="242" t="s">
        <v>3</v>
      </c>
      <c r="C12" s="243"/>
      <c r="D12" s="243"/>
      <c r="E12" s="243"/>
      <c r="F12" s="243"/>
      <c r="G12" s="243"/>
      <c r="H12" s="243"/>
      <c r="I12" s="243"/>
      <c r="J12" s="243"/>
      <c r="K12" s="243"/>
      <c r="L12" s="243"/>
      <c r="M12" s="243"/>
      <c r="N12" s="243"/>
      <c r="O12" s="243"/>
      <c r="P12" s="243"/>
      <c r="Q12" s="243"/>
      <c r="R12" s="243"/>
    </row>
    <row r="13" spans="1:35" ht="16.5" customHeight="1" x14ac:dyDescent="0.35">
      <c r="A13" s="241" t="s">
        <v>118</v>
      </c>
      <c r="B13" s="242" t="s">
        <v>3</v>
      </c>
      <c r="C13" s="245">
        <f>'2. Tulud-kulud projektiga'!D53</f>
        <v>0</v>
      </c>
      <c r="D13" s="245">
        <f>'2. Tulud-kulud projektiga'!E53</f>
        <v>0</v>
      </c>
      <c r="E13" s="245">
        <f>'2. Tulud-kulud projektiga'!F53</f>
        <v>36772.290942911226</v>
      </c>
      <c r="F13" s="245">
        <f>'2. Tulud-kulud projektiga'!G53</f>
        <v>110316.87282873367</v>
      </c>
      <c r="G13" s="245">
        <f>'2. Tulud-kulud projektiga'!H53</f>
        <v>110316.87282873367</v>
      </c>
      <c r="H13" s="245">
        <f>'2. Tulud-kulud projektiga'!I53</f>
        <v>148080.71235951933</v>
      </c>
      <c r="I13" s="245">
        <f>'2. Tulud-kulud projektiga'!J53</f>
        <v>148080.71235951933</v>
      </c>
      <c r="J13" s="245">
        <f>'2. Tulud-kulud projektiga'!K53</f>
        <v>148080.71235951933</v>
      </c>
      <c r="K13" s="245">
        <f>'2. Tulud-kulud projektiga'!L53</f>
        <v>148080.71235951933</v>
      </c>
      <c r="L13" s="245">
        <f>'2. Tulud-kulud projektiga'!M53</f>
        <v>185873.75086925525</v>
      </c>
      <c r="M13" s="245">
        <f>'2. Tulud-kulud projektiga'!N53</f>
        <v>185873.75086925525</v>
      </c>
      <c r="N13" s="245">
        <f>'2. Tulud-kulud projektiga'!O53</f>
        <v>185873.75086925525</v>
      </c>
      <c r="O13" s="245">
        <f>'2. Tulud-kulud projektiga'!P53</f>
        <v>185873.75086925525</v>
      </c>
      <c r="P13" s="245">
        <f>'2. Tulud-kulud projektiga'!Q53</f>
        <v>185873.75086925525</v>
      </c>
      <c r="Q13" s="245">
        <f>'2. Tulud-kulud projektiga'!R53</f>
        <v>185873.75086925525</v>
      </c>
      <c r="R13" s="245">
        <f>'2. Tulud-kulud projektiga'!S53</f>
        <v>185873.75086925525</v>
      </c>
    </row>
    <row r="14" spans="1:35" ht="16.5" hidden="1" customHeight="1" x14ac:dyDescent="0.35">
      <c r="A14" s="241" t="s">
        <v>173</v>
      </c>
      <c r="B14" s="242" t="s">
        <v>3</v>
      </c>
      <c r="C14" s="11"/>
      <c r="D14" s="11"/>
      <c r="E14" s="11"/>
      <c r="F14" s="11"/>
      <c r="G14" s="11"/>
      <c r="H14" s="11"/>
      <c r="I14" s="11"/>
      <c r="J14" s="11"/>
      <c r="K14" s="11"/>
      <c r="L14" s="11"/>
      <c r="M14" s="11"/>
      <c r="N14" s="11"/>
      <c r="O14" s="11"/>
      <c r="P14" s="11"/>
      <c r="Q14" s="11"/>
      <c r="R14" s="11"/>
    </row>
    <row r="15" spans="1:35" ht="16.5" hidden="1" customHeight="1" x14ac:dyDescent="0.35">
      <c r="A15" s="241"/>
      <c r="B15" s="242" t="s">
        <v>3</v>
      </c>
      <c r="C15" s="11"/>
      <c r="D15" s="11"/>
      <c r="E15" s="11"/>
      <c r="F15" s="11"/>
      <c r="G15" s="11"/>
      <c r="H15" s="11"/>
      <c r="I15" s="11"/>
      <c r="J15" s="11"/>
      <c r="K15" s="11"/>
      <c r="L15" s="11"/>
      <c r="M15" s="11"/>
      <c r="N15" s="11"/>
      <c r="O15" s="11"/>
      <c r="P15" s="11"/>
      <c r="Q15" s="11"/>
      <c r="R15" s="11"/>
    </row>
    <row r="16" spans="1:35" ht="16.5" customHeight="1" x14ac:dyDescent="0.35">
      <c r="A16" s="241" t="s">
        <v>326</v>
      </c>
      <c r="B16" s="242" t="s">
        <v>3</v>
      </c>
      <c r="C16" s="11"/>
      <c r="D16" s="11"/>
      <c r="E16" s="11">
        <v>30000</v>
      </c>
      <c r="F16" s="11">
        <v>45000</v>
      </c>
      <c r="G16" s="11">
        <v>45000</v>
      </c>
      <c r="H16" s="11">
        <v>7000</v>
      </c>
      <c r="I16" s="11">
        <v>7000</v>
      </c>
      <c r="J16" s="11">
        <v>7000</v>
      </c>
      <c r="K16" s="11">
        <v>15000</v>
      </c>
      <c r="L16" s="11"/>
      <c r="M16" s="11"/>
      <c r="N16" s="11"/>
      <c r="O16" s="11"/>
      <c r="P16" s="11"/>
      <c r="Q16" s="11"/>
      <c r="R16" s="11"/>
    </row>
    <row r="17" spans="1:35" ht="16.5" customHeight="1" x14ac:dyDescent="0.35">
      <c r="A17" s="241"/>
      <c r="B17" s="242" t="s">
        <v>3</v>
      </c>
      <c r="C17" s="11"/>
      <c r="D17" s="11"/>
      <c r="E17" s="11"/>
      <c r="F17" s="11"/>
      <c r="G17" s="11"/>
      <c r="H17" s="11"/>
      <c r="I17" s="11"/>
      <c r="J17" s="11"/>
      <c r="K17" s="11"/>
      <c r="L17" s="11"/>
      <c r="M17" s="11"/>
      <c r="N17" s="11"/>
      <c r="O17" s="11"/>
      <c r="P17" s="11"/>
      <c r="Q17" s="11"/>
      <c r="R17" s="11"/>
    </row>
    <row r="18" spans="1:35" ht="16.5" customHeight="1" x14ac:dyDescent="0.35">
      <c r="A18" s="241"/>
      <c r="B18" s="242" t="s">
        <v>3</v>
      </c>
      <c r="C18" s="11"/>
      <c r="D18" s="11"/>
      <c r="E18" s="11"/>
      <c r="F18" s="11"/>
      <c r="G18" s="11"/>
      <c r="H18" s="11"/>
      <c r="I18" s="11"/>
      <c r="J18" s="11"/>
      <c r="K18" s="11"/>
      <c r="L18" s="11"/>
      <c r="M18" s="11"/>
      <c r="N18" s="11"/>
      <c r="O18" s="11"/>
      <c r="P18" s="11"/>
      <c r="Q18" s="11"/>
      <c r="R18" s="11"/>
    </row>
    <row r="19" spans="1:35" ht="4.5" customHeight="1" x14ac:dyDescent="0.35">
      <c r="A19" s="238"/>
      <c r="B19" s="246"/>
      <c r="C19" s="18"/>
      <c r="D19" s="18"/>
      <c r="E19" s="18"/>
      <c r="F19" s="18"/>
      <c r="G19" s="18"/>
      <c r="H19" s="18"/>
      <c r="I19" s="18"/>
      <c r="J19" s="18"/>
      <c r="K19" s="18"/>
      <c r="L19" s="18"/>
      <c r="M19" s="18"/>
      <c r="N19" s="18"/>
      <c r="O19" s="18"/>
      <c r="P19" s="18"/>
      <c r="Q19" s="19"/>
      <c r="R19" s="19"/>
    </row>
    <row r="20" spans="1:35" s="250" customFormat="1" ht="22.5" customHeight="1" x14ac:dyDescent="0.35">
      <c r="A20" s="247" t="s">
        <v>119</v>
      </c>
      <c r="B20" s="248" t="s">
        <v>3</v>
      </c>
      <c r="C20" s="249">
        <f t="shared" ref="C20:P20" si="3">SUM(C7:C18)</f>
        <v>0</v>
      </c>
      <c r="D20" s="249">
        <f t="shared" si="3"/>
        <v>4302999.5</v>
      </c>
      <c r="E20" s="249">
        <f t="shared" si="3"/>
        <v>972159.29094291118</v>
      </c>
      <c r="F20" s="249">
        <f t="shared" si="3"/>
        <v>155316.87282873367</v>
      </c>
      <c r="G20" s="249">
        <f t="shared" si="3"/>
        <v>155316.87282873367</v>
      </c>
      <c r="H20" s="249">
        <f t="shared" si="3"/>
        <v>155080.71235951933</v>
      </c>
      <c r="I20" s="249">
        <f t="shared" si="3"/>
        <v>155080.71235951933</v>
      </c>
      <c r="J20" s="249">
        <f t="shared" si="3"/>
        <v>155080.71235951933</v>
      </c>
      <c r="K20" s="249">
        <f t="shared" si="3"/>
        <v>163080.71235951933</v>
      </c>
      <c r="L20" s="249">
        <f t="shared" si="3"/>
        <v>185873.75086925525</v>
      </c>
      <c r="M20" s="249">
        <f t="shared" si="3"/>
        <v>185873.75086925525</v>
      </c>
      <c r="N20" s="249">
        <f t="shared" si="3"/>
        <v>185873.75086925525</v>
      </c>
      <c r="O20" s="249">
        <f t="shared" si="3"/>
        <v>185873.75086925525</v>
      </c>
      <c r="P20" s="249">
        <f t="shared" si="3"/>
        <v>185873.75086925525</v>
      </c>
      <c r="Q20" s="249">
        <f t="shared" ref="Q20:R20" si="4">SUM(Q7:Q18)</f>
        <v>185873.75086925525</v>
      </c>
      <c r="R20" s="249">
        <f t="shared" si="4"/>
        <v>185873.75086925525</v>
      </c>
      <c r="S20" s="3"/>
      <c r="T20" s="3"/>
      <c r="U20" s="3"/>
      <c r="V20" s="3"/>
      <c r="W20" s="3"/>
      <c r="X20" s="3"/>
      <c r="Y20" s="3"/>
      <c r="Z20" s="3"/>
      <c r="AA20" s="3"/>
      <c r="AB20" s="3"/>
      <c r="AC20" s="3"/>
      <c r="AD20" s="3"/>
      <c r="AE20" s="3"/>
      <c r="AF20" s="3"/>
      <c r="AG20" s="3"/>
      <c r="AH20" s="3"/>
      <c r="AI20" s="3"/>
    </row>
    <row r="21" spans="1:35" s="250" customFormat="1" ht="4.5" customHeight="1" x14ac:dyDescent="0.35">
      <c r="A21" s="251"/>
      <c r="B21" s="246"/>
      <c r="C21" s="252"/>
      <c r="D21" s="252"/>
      <c r="E21" s="252"/>
      <c r="F21" s="252"/>
      <c r="G21" s="252"/>
      <c r="H21" s="252"/>
      <c r="I21" s="252"/>
      <c r="J21" s="252"/>
      <c r="K21" s="252"/>
      <c r="L21" s="252"/>
      <c r="M21" s="252"/>
      <c r="N21" s="252"/>
      <c r="O21" s="252"/>
      <c r="P21" s="252"/>
      <c r="Q21" s="253"/>
      <c r="R21" s="253"/>
      <c r="S21" s="3"/>
      <c r="T21" s="3"/>
      <c r="U21" s="3"/>
      <c r="V21" s="3"/>
      <c r="W21" s="3"/>
      <c r="X21" s="3"/>
      <c r="Y21" s="3"/>
      <c r="Z21" s="3"/>
      <c r="AA21" s="3"/>
      <c r="AB21" s="3"/>
      <c r="AC21" s="3"/>
      <c r="AD21" s="3"/>
      <c r="AE21" s="3"/>
      <c r="AF21" s="3"/>
      <c r="AG21" s="3"/>
      <c r="AH21" s="3"/>
      <c r="AI21" s="3"/>
    </row>
    <row r="22" spans="1:35" ht="20.25" customHeight="1" x14ac:dyDescent="0.35">
      <c r="A22" s="254"/>
      <c r="B22" s="255"/>
      <c r="C22" s="256"/>
      <c r="D22" s="256"/>
      <c r="E22" s="256"/>
      <c r="F22" s="256"/>
      <c r="G22" s="256"/>
      <c r="H22" s="256"/>
      <c r="I22" s="256"/>
      <c r="J22" s="256"/>
      <c r="K22" s="256"/>
      <c r="L22" s="256"/>
      <c r="M22" s="256"/>
      <c r="N22" s="256"/>
      <c r="O22" s="256"/>
      <c r="P22" s="256"/>
      <c r="Q22" s="256"/>
      <c r="R22" s="256"/>
    </row>
    <row r="23" spans="1:35" ht="20.25" customHeight="1" x14ac:dyDescent="0.35">
      <c r="A23" s="233" t="s">
        <v>120</v>
      </c>
      <c r="B23" s="257"/>
      <c r="C23" s="11"/>
      <c r="D23" s="11"/>
      <c r="E23" s="11"/>
      <c r="F23" s="11"/>
      <c r="G23" s="11"/>
      <c r="H23" s="11"/>
      <c r="I23" s="11"/>
      <c r="J23" s="11"/>
      <c r="K23" s="11"/>
      <c r="L23" s="11"/>
      <c r="M23" s="11"/>
      <c r="N23" s="11"/>
      <c r="O23" s="11"/>
      <c r="P23" s="11"/>
      <c r="Q23" s="11"/>
      <c r="R23" s="11"/>
    </row>
    <row r="24" spans="1:35" ht="4.5" customHeight="1" x14ac:dyDescent="0.35">
      <c r="A24" s="240"/>
      <c r="B24" s="246"/>
      <c r="C24" s="18"/>
      <c r="D24" s="18"/>
      <c r="E24" s="18"/>
      <c r="F24" s="18"/>
      <c r="G24" s="18"/>
      <c r="H24" s="18"/>
      <c r="I24" s="18"/>
      <c r="J24" s="18"/>
      <c r="K24" s="18"/>
      <c r="L24" s="18"/>
      <c r="M24" s="18"/>
      <c r="N24" s="18"/>
      <c r="O24" s="18"/>
      <c r="P24" s="18"/>
      <c r="Q24" s="19"/>
      <c r="R24" s="19"/>
    </row>
    <row r="25" spans="1:35" ht="16.5" customHeight="1" x14ac:dyDescent="0.35">
      <c r="A25" s="241" t="s">
        <v>130</v>
      </c>
      <c r="B25" s="242" t="s">
        <v>3</v>
      </c>
      <c r="C25" s="245">
        <f>'1. Projekti elluviimise kulud'!D19</f>
        <v>0</v>
      </c>
      <c r="D25" s="245">
        <f>'1. Projekti elluviimise kulud'!E19</f>
        <v>4302999.5</v>
      </c>
      <c r="E25" s="245">
        <f>'1. Projekti elluviimise kulud'!F19</f>
        <v>905387</v>
      </c>
      <c r="F25" s="245">
        <f>'1. Projekti elluviimise kulud'!G19</f>
        <v>0</v>
      </c>
      <c r="G25" s="245">
        <f>'1. Projekti elluviimise kulud'!H19</f>
        <v>0</v>
      </c>
      <c r="H25" s="245">
        <f>'1. Projekti elluviimise kulud'!I19</f>
        <v>0</v>
      </c>
      <c r="I25" s="258"/>
      <c r="J25" s="258"/>
      <c r="K25" s="258"/>
      <c r="L25" s="258"/>
      <c r="M25" s="258"/>
      <c r="N25" s="258"/>
      <c r="O25" s="258"/>
      <c r="P25" s="258"/>
      <c r="Q25" s="258"/>
      <c r="R25" s="258"/>
    </row>
    <row r="26" spans="1:35" ht="16.5" customHeight="1" x14ac:dyDescent="0.35">
      <c r="A26" s="241" t="s">
        <v>131</v>
      </c>
      <c r="B26" s="242" t="s">
        <v>3</v>
      </c>
      <c r="C26" s="245">
        <f>'2. Tulud-kulud projektiga'!D118</f>
        <v>0</v>
      </c>
      <c r="D26" s="245">
        <f>'2. Tulud-kulud projektiga'!E118</f>
        <v>0</v>
      </c>
      <c r="E26" s="245">
        <f>'2. Tulud-kulud projektiga'!F118</f>
        <v>63205.406368533339</v>
      </c>
      <c r="F26" s="245">
        <f>'2. Tulud-kulud projektiga'!G118</f>
        <v>155681.8631056</v>
      </c>
      <c r="G26" s="245">
        <f>'2. Tulud-kulud projektiga'!H118</f>
        <v>155681.8631056</v>
      </c>
      <c r="H26" s="245">
        <f>'2. Tulud-kulud projektiga'!I118</f>
        <v>155802.19376560001</v>
      </c>
      <c r="I26" s="245">
        <f>'2. Tulud-kulud projektiga'!J118</f>
        <v>155802.19376560001</v>
      </c>
      <c r="J26" s="245">
        <f>'2. Tulud-kulud projektiga'!K118</f>
        <v>155802.19376560001</v>
      </c>
      <c r="K26" s="245">
        <f>'2. Tulud-kulud projektiga'!L118</f>
        <v>155802.19376560001</v>
      </c>
      <c r="L26" s="245">
        <f>'2. Tulud-kulud projektiga'!M118</f>
        <v>151253.98842559999</v>
      </c>
      <c r="M26" s="245">
        <f>'2. Tulud-kulud projektiga'!N118</f>
        <v>151253.98842559999</v>
      </c>
      <c r="N26" s="245">
        <f>'2. Tulud-kulud projektiga'!O118</f>
        <v>151253.98842559999</v>
      </c>
      <c r="O26" s="245">
        <f>'2. Tulud-kulud projektiga'!P118</f>
        <v>151253.98842559999</v>
      </c>
      <c r="P26" s="245">
        <f>'2. Tulud-kulud projektiga'!Q118</f>
        <v>151253.98842559999</v>
      </c>
      <c r="Q26" s="245">
        <f>'2. Tulud-kulud projektiga'!R118</f>
        <v>241592.6884256</v>
      </c>
      <c r="R26" s="245">
        <f>'2. Tulud-kulud projektiga'!S118</f>
        <v>151253.98842559999</v>
      </c>
    </row>
    <row r="27" spans="1:35" ht="16.5" hidden="1" customHeight="1" x14ac:dyDescent="0.35">
      <c r="A27" s="241"/>
      <c r="B27" s="242" t="s">
        <v>3</v>
      </c>
      <c r="C27" s="11"/>
      <c r="D27" s="11"/>
      <c r="E27" s="11"/>
      <c r="F27" s="11"/>
      <c r="G27" s="11"/>
      <c r="H27" s="11"/>
      <c r="I27" s="11"/>
      <c r="J27" s="11"/>
      <c r="K27" s="11"/>
      <c r="L27" s="11"/>
      <c r="M27" s="11"/>
      <c r="N27" s="11"/>
      <c r="O27" s="11"/>
      <c r="P27" s="11"/>
      <c r="Q27" s="11"/>
      <c r="R27" s="11"/>
    </row>
    <row r="28" spans="1:35" ht="16.5" customHeight="1" x14ac:dyDescent="0.35">
      <c r="A28" s="241" t="s">
        <v>505</v>
      </c>
      <c r="B28" s="242" t="s">
        <v>3</v>
      </c>
      <c r="C28" s="11"/>
      <c r="D28" s="11"/>
      <c r="E28" s="11"/>
      <c r="F28" s="11"/>
      <c r="G28" s="11"/>
      <c r="H28" s="11"/>
      <c r="I28" s="11"/>
      <c r="J28" s="11"/>
      <c r="K28" s="11"/>
      <c r="L28" s="11">
        <v>40000</v>
      </c>
      <c r="M28" s="11">
        <v>18000</v>
      </c>
      <c r="N28" s="11">
        <v>30000</v>
      </c>
      <c r="O28" s="11">
        <v>30000</v>
      </c>
      <c r="P28" s="11">
        <v>5000</v>
      </c>
      <c r="Q28" s="11"/>
      <c r="R28" s="11">
        <v>33000</v>
      </c>
    </row>
    <row r="29" spans="1:35" ht="16.5" hidden="1" customHeight="1" x14ac:dyDescent="0.35">
      <c r="A29" s="241" t="s">
        <v>122</v>
      </c>
      <c r="B29" s="242" t="s">
        <v>3</v>
      </c>
      <c r="C29" s="11"/>
      <c r="D29" s="11"/>
      <c r="E29" s="11"/>
      <c r="F29" s="11"/>
      <c r="G29" s="11"/>
      <c r="H29" s="11"/>
      <c r="I29" s="11"/>
      <c r="J29" s="11"/>
      <c r="K29" s="11"/>
      <c r="L29" s="11"/>
      <c r="M29" s="11"/>
      <c r="N29" s="11"/>
      <c r="O29" s="11"/>
      <c r="P29" s="11"/>
      <c r="Q29" s="11"/>
      <c r="R29" s="11"/>
    </row>
    <row r="30" spans="1:35" ht="16.5" hidden="1" customHeight="1" x14ac:dyDescent="0.35">
      <c r="A30" s="241"/>
      <c r="B30" s="242" t="s">
        <v>3</v>
      </c>
      <c r="C30" s="11"/>
      <c r="D30" s="11"/>
      <c r="E30" s="11"/>
      <c r="F30" s="11"/>
      <c r="G30" s="11"/>
      <c r="H30" s="11"/>
      <c r="I30" s="11"/>
      <c r="J30" s="11"/>
      <c r="K30" s="11"/>
      <c r="L30" s="11"/>
      <c r="M30" s="11"/>
      <c r="N30" s="11"/>
      <c r="O30" s="11"/>
      <c r="P30" s="11"/>
      <c r="Q30" s="11"/>
      <c r="R30" s="11"/>
    </row>
    <row r="31" spans="1:35" ht="16.5" hidden="1" customHeight="1" x14ac:dyDescent="0.35">
      <c r="A31" s="241"/>
      <c r="B31" s="242" t="s">
        <v>3</v>
      </c>
      <c r="C31" s="11"/>
      <c r="D31" s="11"/>
      <c r="E31" s="11"/>
      <c r="F31" s="11"/>
      <c r="G31" s="11"/>
      <c r="H31" s="11"/>
      <c r="I31" s="11"/>
      <c r="J31" s="11"/>
      <c r="K31" s="11"/>
      <c r="L31" s="11"/>
      <c r="M31" s="11"/>
      <c r="N31" s="11"/>
      <c r="O31" s="11"/>
      <c r="P31" s="11"/>
      <c r="Q31" s="11"/>
      <c r="R31" s="11"/>
    </row>
    <row r="32" spans="1:35" ht="4.5" customHeight="1" x14ac:dyDescent="0.35">
      <c r="A32" s="259"/>
      <c r="B32" s="260"/>
      <c r="C32" s="258"/>
      <c r="D32" s="258"/>
      <c r="E32" s="258"/>
      <c r="F32" s="258"/>
      <c r="G32" s="258"/>
      <c r="H32" s="258"/>
      <c r="I32" s="258"/>
      <c r="J32" s="258"/>
      <c r="K32" s="258"/>
      <c r="L32" s="258"/>
      <c r="M32" s="258"/>
      <c r="N32" s="258"/>
      <c r="O32" s="258"/>
      <c r="P32" s="258"/>
      <c r="Q32" s="258"/>
      <c r="R32" s="258"/>
    </row>
    <row r="33" spans="1:35" s="250" customFormat="1" ht="22.5" customHeight="1" x14ac:dyDescent="0.35">
      <c r="A33" s="247" t="s">
        <v>123</v>
      </c>
      <c r="B33" s="248" t="s">
        <v>3</v>
      </c>
      <c r="C33" s="249">
        <f t="shared" ref="C33:P33" si="5">SUM(C25:C31)</f>
        <v>0</v>
      </c>
      <c r="D33" s="249">
        <f t="shared" si="5"/>
        <v>4302999.5</v>
      </c>
      <c r="E33" s="249">
        <f t="shared" si="5"/>
        <v>968592.40636853338</v>
      </c>
      <c r="F33" s="249">
        <f t="shared" si="5"/>
        <v>155681.8631056</v>
      </c>
      <c r="G33" s="249">
        <f t="shared" si="5"/>
        <v>155681.8631056</v>
      </c>
      <c r="H33" s="249">
        <f t="shared" si="5"/>
        <v>155802.19376560001</v>
      </c>
      <c r="I33" s="249">
        <f t="shared" si="5"/>
        <v>155802.19376560001</v>
      </c>
      <c r="J33" s="249">
        <f t="shared" si="5"/>
        <v>155802.19376560001</v>
      </c>
      <c r="K33" s="249">
        <f t="shared" si="5"/>
        <v>155802.19376560001</v>
      </c>
      <c r="L33" s="249">
        <f t="shared" si="5"/>
        <v>191253.98842559999</v>
      </c>
      <c r="M33" s="249">
        <f t="shared" si="5"/>
        <v>169253.98842559999</v>
      </c>
      <c r="N33" s="249">
        <f t="shared" si="5"/>
        <v>181253.98842559999</v>
      </c>
      <c r="O33" s="249">
        <f t="shared" si="5"/>
        <v>181253.98842559999</v>
      </c>
      <c r="P33" s="249">
        <f t="shared" si="5"/>
        <v>156253.98842559999</v>
      </c>
      <c r="Q33" s="249">
        <f t="shared" ref="Q33:R33" si="6">SUM(Q25:Q31)</f>
        <v>241592.6884256</v>
      </c>
      <c r="R33" s="249">
        <f t="shared" si="6"/>
        <v>184253.98842559999</v>
      </c>
      <c r="S33" s="3"/>
      <c r="T33" s="3"/>
      <c r="U33" s="3"/>
      <c r="V33" s="3"/>
      <c r="W33" s="3"/>
      <c r="X33" s="3"/>
      <c r="Y33" s="3"/>
      <c r="Z33" s="3"/>
      <c r="AA33" s="3"/>
      <c r="AB33" s="3"/>
      <c r="AC33" s="3"/>
      <c r="AD33" s="3"/>
      <c r="AE33" s="3"/>
      <c r="AF33" s="3"/>
      <c r="AG33" s="3"/>
      <c r="AH33" s="3"/>
      <c r="AI33" s="3"/>
    </row>
    <row r="34" spans="1:35" s="250" customFormat="1" ht="4.5" customHeight="1" x14ac:dyDescent="0.35">
      <c r="A34" s="251"/>
      <c r="B34" s="246"/>
      <c r="C34" s="252"/>
      <c r="D34" s="252"/>
      <c r="E34" s="252"/>
      <c r="F34" s="252"/>
      <c r="G34" s="252"/>
      <c r="H34" s="252"/>
      <c r="I34" s="252"/>
      <c r="J34" s="252"/>
      <c r="K34" s="252"/>
      <c r="L34" s="252"/>
      <c r="M34" s="252"/>
      <c r="N34" s="252"/>
      <c r="O34" s="252"/>
      <c r="P34" s="252"/>
      <c r="Q34" s="253"/>
      <c r="R34" s="253"/>
      <c r="S34" s="3"/>
      <c r="T34" s="3"/>
      <c r="U34" s="3"/>
      <c r="V34" s="3"/>
      <c r="W34" s="3"/>
      <c r="X34" s="3"/>
      <c r="Y34" s="3"/>
      <c r="Z34" s="3"/>
      <c r="AA34" s="3"/>
      <c r="AB34" s="3"/>
      <c r="AC34" s="3"/>
      <c r="AD34" s="3"/>
      <c r="AE34" s="3"/>
      <c r="AF34" s="3"/>
      <c r="AG34" s="3"/>
      <c r="AH34" s="3"/>
      <c r="AI34" s="3"/>
    </row>
    <row r="35" spans="1:35" s="250" customFormat="1" ht="18.75" customHeight="1" x14ac:dyDescent="0.35">
      <c r="A35" s="261"/>
      <c r="B35" s="255"/>
      <c r="C35" s="262"/>
      <c r="D35" s="262"/>
      <c r="E35" s="262"/>
      <c r="F35" s="262"/>
      <c r="G35" s="262"/>
      <c r="H35" s="262"/>
      <c r="I35" s="262"/>
      <c r="J35" s="262"/>
      <c r="K35" s="262"/>
      <c r="L35" s="262"/>
      <c r="M35" s="262"/>
      <c r="N35" s="262"/>
      <c r="O35" s="262"/>
      <c r="P35" s="262"/>
      <c r="Q35" s="276"/>
      <c r="R35" s="276"/>
      <c r="S35" s="3"/>
      <c r="T35" s="3"/>
      <c r="U35" s="3"/>
      <c r="V35" s="3"/>
      <c r="W35" s="3"/>
      <c r="X35" s="3"/>
      <c r="Y35" s="3"/>
      <c r="Z35" s="3"/>
      <c r="AA35" s="3"/>
      <c r="AB35" s="3"/>
      <c r="AC35" s="3"/>
      <c r="AD35" s="3"/>
      <c r="AE35" s="3"/>
      <c r="AF35" s="3"/>
      <c r="AG35" s="3"/>
      <c r="AH35" s="3"/>
      <c r="AI35" s="3"/>
    </row>
    <row r="36" spans="1:35" s="266" customFormat="1" ht="18" customHeight="1" x14ac:dyDescent="0.35">
      <c r="A36" s="263" t="s">
        <v>124</v>
      </c>
      <c r="B36" s="248" t="s">
        <v>3</v>
      </c>
      <c r="C36" s="264">
        <f t="shared" ref="C36:P36" si="7">C20-C33</f>
        <v>0</v>
      </c>
      <c r="D36" s="264">
        <f t="shared" si="7"/>
        <v>0</v>
      </c>
      <c r="E36" s="264">
        <f t="shared" si="7"/>
        <v>3566.8845743777929</v>
      </c>
      <c r="F36" s="264">
        <f t="shared" si="7"/>
        <v>-364.99027686633053</v>
      </c>
      <c r="G36" s="264">
        <f t="shared" si="7"/>
        <v>-364.99027686633053</v>
      </c>
      <c r="H36" s="264">
        <f>H20-H33</f>
        <v>-721.48140608068206</v>
      </c>
      <c r="I36" s="264">
        <f t="shared" si="7"/>
        <v>-721.48140608068206</v>
      </c>
      <c r="J36" s="264">
        <f t="shared" si="7"/>
        <v>-721.48140608068206</v>
      </c>
      <c r="K36" s="264">
        <f t="shared" si="7"/>
        <v>7278.5185939193179</v>
      </c>
      <c r="L36" s="264">
        <f t="shared" si="7"/>
        <v>-5380.2375563447422</v>
      </c>
      <c r="M36" s="264">
        <f t="shared" si="7"/>
        <v>16619.762443655258</v>
      </c>
      <c r="N36" s="264">
        <f t="shared" si="7"/>
        <v>4619.7624436552578</v>
      </c>
      <c r="O36" s="264">
        <f t="shared" si="7"/>
        <v>4619.7624436552578</v>
      </c>
      <c r="P36" s="264">
        <f t="shared" si="7"/>
        <v>29619.762443655258</v>
      </c>
      <c r="Q36" s="264">
        <f>Q20-Q33</f>
        <v>-55718.937556344754</v>
      </c>
      <c r="R36" s="264">
        <f>R20-R33</f>
        <v>1619.7624436552578</v>
      </c>
      <c r="S36" s="265"/>
      <c r="T36" s="265"/>
      <c r="U36" s="265"/>
      <c r="V36" s="265"/>
      <c r="W36" s="265"/>
      <c r="X36" s="265"/>
      <c r="Y36" s="265"/>
      <c r="Z36" s="265"/>
      <c r="AA36" s="265"/>
      <c r="AB36" s="265"/>
      <c r="AC36" s="265"/>
      <c r="AD36" s="265"/>
      <c r="AE36" s="265"/>
      <c r="AF36" s="265"/>
      <c r="AG36" s="265"/>
      <c r="AH36" s="265"/>
      <c r="AI36" s="265"/>
    </row>
    <row r="37" spans="1:35" ht="4.5" customHeight="1" x14ac:dyDescent="0.35">
      <c r="A37" s="238"/>
      <c r="B37" s="246"/>
      <c r="C37" s="18"/>
      <c r="D37" s="18"/>
      <c r="E37" s="18"/>
      <c r="F37" s="18"/>
      <c r="G37" s="18"/>
      <c r="H37" s="18"/>
      <c r="I37" s="18"/>
      <c r="J37" s="18"/>
      <c r="K37" s="18"/>
      <c r="L37" s="18"/>
      <c r="M37" s="18"/>
      <c r="N37" s="18"/>
      <c r="O37" s="18"/>
      <c r="P37" s="18"/>
      <c r="Q37" s="18"/>
      <c r="R37" s="18"/>
    </row>
    <row r="38" spans="1:35" s="250" customFormat="1" ht="22.5" customHeight="1" x14ac:dyDescent="0.35">
      <c r="A38" s="247" t="s">
        <v>125</v>
      </c>
      <c r="B38" s="248" t="s">
        <v>3</v>
      </c>
      <c r="C38" s="249">
        <f>C36</f>
        <v>0</v>
      </c>
      <c r="D38" s="249">
        <f>C38+D36</f>
        <v>0</v>
      </c>
      <c r="E38" s="249">
        <f t="shared" ref="E38:O38" si="8">D38+E36</f>
        <v>3566.8845743777929</v>
      </c>
      <c r="F38" s="249">
        <f t="shared" si="8"/>
        <v>3201.8942975114624</v>
      </c>
      <c r="G38" s="249">
        <f t="shared" si="8"/>
        <v>2836.9040206451318</v>
      </c>
      <c r="H38" s="249">
        <f t="shared" si="8"/>
        <v>2115.4226145644498</v>
      </c>
      <c r="I38" s="249">
        <f t="shared" si="8"/>
        <v>1393.9412084837677</v>
      </c>
      <c r="J38" s="249">
        <f t="shared" si="8"/>
        <v>672.45980240308563</v>
      </c>
      <c r="K38" s="249">
        <f t="shared" si="8"/>
        <v>7950.9783963224036</v>
      </c>
      <c r="L38" s="249">
        <f t="shared" si="8"/>
        <v>2570.7408399776614</v>
      </c>
      <c r="M38" s="249">
        <f t="shared" si="8"/>
        <v>19190.503283632919</v>
      </c>
      <c r="N38" s="249">
        <f t="shared" si="8"/>
        <v>23810.265727288177</v>
      </c>
      <c r="O38" s="249">
        <f t="shared" si="8"/>
        <v>28430.028170943435</v>
      </c>
      <c r="P38" s="249">
        <f t="shared" ref="P38" si="9">O38+P36</f>
        <v>58049.790614598693</v>
      </c>
      <c r="Q38" s="249">
        <f t="shared" ref="Q38:R38" si="10">P38+Q36</f>
        <v>2330.8530582539388</v>
      </c>
      <c r="R38" s="249">
        <f t="shared" si="10"/>
        <v>3950.6155019091966</v>
      </c>
      <c r="S38" s="3"/>
      <c r="T38" s="3"/>
      <c r="U38" s="3"/>
      <c r="V38" s="3"/>
      <c r="W38" s="3"/>
      <c r="X38" s="3"/>
      <c r="Y38" s="3"/>
      <c r="Z38" s="3"/>
      <c r="AA38" s="3"/>
      <c r="AB38" s="3"/>
      <c r="AC38" s="3"/>
      <c r="AD38" s="3"/>
      <c r="AE38" s="3"/>
      <c r="AF38" s="3"/>
      <c r="AG38" s="3"/>
      <c r="AH38" s="3"/>
      <c r="AI38" s="3"/>
    </row>
    <row r="39" spans="1:35" ht="4.5" customHeight="1" x14ac:dyDescent="0.35">
      <c r="A39" s="238"/>
      <c r="B39" s="239"/>
      <c r="C39" s="18"/>
      <c r="D39" s="18"/>
      <c r="E39" s="18"/>
      <c r="F39" s="18"/>
      <c r="G39" s="18"/>
      <c r="H39" s="18"/>
      <c r="I39" s="18"/>
      <c r="J39" s="18"/>
      <c r="K39" s="18"/>
      <c r="L39" s="18"/>
      <c r="M39" s="18"/>
      <c r="N39" s="18"/>
      <c r="O39" s="18"/>
      <c r="P39" s="18"/>
      <c r="Q39" s="19"/>
      <c r="R39" s="19"/>
    </row>
    <row r="41" spans="1:35" s="270" customFormat="1" ht="13" x14ac:dyDescent="0.35">
      <c r="A41" s="267" t="s">
        <v>126</v>
      </c>
      <c r="B41" s="267"/>
      <c r="C41" s="268">
        <f>C16-C28</f>
        <v>0</v>
      </c>
      <c r="D41" s="268">
        <f t="shared" ref="D41:O41" si="11">C41+D16-D28</f>
        <v>0</v>
      </c>
      <c r="E41" s="268">
        <f>D41+E16-E28</f>
        <v>30000</v>
      </c>
      <c r="F41" s="268">
        <f t="shared" si="11"/>
        <v>75000</v>
      </c>
      <c r="G41" s="268">
        <f t="shared" si="11"/>
        <v>120000</v>
      </c>
      <c r="H41" s="268">
        <f t="shared" si="11"/>
        <v>127000</v>
      </c>
      <c r="I41" s="268">
        <f t="shared" si="11"/>
        <v>134000</v>
      </c>
      <c r="J41" s="268">
        <f t="shared" si="11"/>
        <v>141000</v>
      </c>
      <c r="K41" s="268">
        <f t="shared" si="11"/>
        <v>156000</v>
      </c>
      <c r="L41" s="268">
        <f t="shared" si="11"/>
        <v>116000</v>
      </c>
      <c r="M41" s="268">
        <f t="shared" si="11"/>
        <v>98000</v>
      </c>
      <c r="N41" s="268">
        <f t="shared" si="11"/>
        <v>68000</v>
      </c>
      <c r="O41" s="268">
        <f t="shared" si="11"/>
        <v>38000</v>
      </c>
      <c r="P41" s="268">
        <f t="shared" ref="P41" si="12">O41+P16-P28</f>
        <v>33000</v>
      </c>
      <c r="Q41" s="268">
        <f t="shared" ref="Q41:R41" si="13">P41+Q16-Q28</f>
        <v>33000</v>
      </c>
      <c r="R41" s="268">
        <f t="shared" si="13"/>
        <v>0</v>
      </c>
      <c r="S41" s="269"/>
      <c r="T41" s="269"/>
      <c r="U41" s="269"/>
      <c r="V41" s="269"/>
      <c r="W41" s="269"/>
      <c r="X41" s="269"/>
      <c r="Y41" s="269"/>
      <c r="Z41" s="269"/>
      <c r="AA41" s="269"/>
      <c r="AB41" s="269"/>
      <c r="AC41" s="269"/>
      <c r="AD41" s="269"/>
      <c r="AE41" s="269"/>
      <c r="AF41" s="269"/>
      <c r="AG41" s="269"/>
      <c r="AH41" s="269"/>
      <c r="AI41" s="269"/>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27</vt:i4>
      </vt:variant>
      <vt:variant>
        <vt:lpstr>Nimega vahemikud</vt:lpstr>
      </vt:variant>
      <vt:variant>
        <vt:i4>10</vt:i4>
      </vt:variant>
    </vt:vector>
  </HeadingPairs>
  <TitlesOfParts>
    <vt:vector size="37"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8. Jääkväärtus</vt:lpstr>
      <vt:lpstr>Sots.majanduslik moju</vt:lpstr>
      <vt:lpstr>Eeldused SotsMajand. moju</vt:lpstr>
      <vt:lpstr>Maksumäärad</vt:lpstr>
      <vt:lpstr>Arvestusperioodid</vt:lpstr>
      <vt:lpstr>Asendusinvesteeringud</vt:lpstr>
      <vt:lpstr>Ruumid</vt:lpstr>
      <vt:lpstr>Eeldused25</vt:lpstr>
      <vt:lpstr>Kulud25</vt:lpstr>
      <vt:lpstr>Tulud25</vt:lpstr>
      <vt:lpstr>Eeldused50</vt:lpstr>
      <vt:lpstr>Kulud50</vt:lpstr>
      <vt:lpstr>Tulud50</vt:lpstr>
      <vt:lpstr>Eeldused75</vt:lpstr>
      <vt:lpstr>Kulud75</vt:lpstr>
      <vt:lpstr>Tulud75</vt:lpstr>
      <vt:lpstr>Tegevuseelarve</vt:lpstr>
      <vt:lpstr>Link tabel</vt:lpstr>
      <vt:lpstr>Kulud25!Prindiala</vt:lpstr>
      <vt:lpstr>Kulud50!Prindiala</vt:lpstr>
      <vt:lpstr>Kulud75!Prindiala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2025-03-17T07:23:36Z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